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7.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danvanet.sharepoint.com/sites/4001-StatistikAnalyse/Shared Documents/info-prj/Parismodel II - Arbejdsgruppe/Indberetningsrunde/Ark/Justeret resultat ark v2/v2 skabelon/"/>
    </mc:Choice>
  </mc:AlternateContent>
  <xr:revisionPtr revIDLastSave="17187" documentId="8_{EE8C06AF-F982-4805-8B2A-A9D07FF1378C}" xr6:coauthVersionLast="47" xr6:coauthVersionMax="47" xr10:uidLastSave="{657189AC-E00C-4052-90EE-315CFA39B1F9}"/>
  <workbookProtection workbookAlgorithmName="SHA-512" workbookHashValue="PYrTO2kRJz8oU0HUmo0TGBcSv5du7m8/oGWaK85h81QEv4WeRSVWFF0CuxPkHRdD7U9saf6Q+AX3YeOCp87RhQ==" workbookSaltValue="IRcUI1UFUpx3/xrQHyAgRQ==" workbookSpinCount="100000" lockStructure="1"/>
  <bookViews>
    <workbookView xWindow="-28920" yWindow="8895" windowWidth="29040" windowHeight="15840" xr2:uid="{5B7C62C0-5B83-48CE-BD8E-36D7FC92B508}"/>
  </bookViews>
  <sheets>
    <sheet name="Introduktion" sheetId="4" r:id="rId1"/>
    <sheet name="Basisoplysninger" sheetId="7" r:id="rId2"/>
    <sheet name="Strategi" sheetId="12" r:id="rId3"/>
    <sheet name="Drikkevand" sheetId="8" r:id="rId4"/>
    <sheet name="Afløb" sheetId="23" r:id="rId5"/>
    <sheet name="Renseanlæg" sheetId="18" r:id="rId6"/>
    <sheet name="Hjælp" sheetId="26" r:id="rId7"/>
    <sheet name="Resultat drikkevand" sheetId="6" r:id="rId8"/>
    <sheet name="Resultat afløb" sheetId="24" r:id="rId9"/>
    <sheet name="Resultat renseanlæg" sheetId="25" r:id="rId10"/>
    <sheet name="EF" sheetId="13" r:id="rId11"/>
    <sheet name="Data DV" sheetId="1" r:id="rId12"/>
    <sheet name="Data SPV trans" sheetId="2" r:id="rId13"/>
    <sheet name="Data SPV rens" sheetId="17" r:id="rId14"/>
    <sheet name="rDV" sheetId="21" r:id="rId15"/>
    <sheet name="rSPV" sheetId="22" r:id="rId1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05" i="18" l="1"/>
  <c r="F203" i="18"/>
  <c r="J84" i="18" l="1"/>
  <c r="F102" i="26" l="1"/>
  <c r="K206" i="18"/>
  <c r="L206" i="18"/>
  <c r="M206" i="18"/>
  <c r="J206" i="18"/>
  <c r="F36" i="26"/>
  <c r="F35" i="26"/>
  <c r="L92" i="8"/>
  <c r="J90" i="8"/>
  <c r="K90" i="8"/>
  <c r="L90" i="8"/>
  <c r="M90" i="8"/>
  <c r="J91" i="8"/>
  <c r="K91" i="8"/>
  <c r="L91" i="8"/>
  <c r="M91" i="8"/>
  <c r="J92" i="8"/>
  <c r="K92" i="8"/>
  <c r="M92" i="8"/>
  <c r="J93" i="8"/>
  <c r="K93" i="8"/>
  <c r="L93" i="8"/>
  <c r="M93" i="8"/>
  <c r="J94" i="8"/>
  <c r="K94" i="8"/>
  <c r="L94" i="8"/>
  <c r="M94" i="8"/>
  <c r="J95" i="8"/>
  <c r="K95" i="8"/>
  <c r="L95" i="8"/>
  <c r="M95" i="8"/>
  <c r="J96" i="8"/>
  <c r="K96" i="8"/>
  <c r="L96" i="8"/>
  <c r="M96" i="8"/>
  <c r="J97" i="8"/>
  <c r="K97" i="8"/>
  <c r="L97" i="8"/>
  <c r="M97" i="8"/>
  <c r="J98" i="8"/>
  <c r="K98" i="8"/>
  <c r="L98" i="8"/>
  <c r="M98" i="8"/>
  <c r="K89" i="8"/>
  <c r="L89" i="8"/>
  <c r="M89" i="8"/>
  <c r="J89" i="8"/>
  <c r="J83" i="23"/>
  <c r="K83" i="23"/>
  <c r="L83" i="23"/>
  <c r="M83" i="23"/>
  <c r="J84" i="23"/>
  <c r="K84" i="23"/>
  <c r="L84" i="23"/>
  <c r="M84" i="23"/>
  <c r="K82" i="23"/>
  <c r="L31" i="24" s="1" a="1"/>
  <c r="L31" i="24" s="1"/>
  <c r="L82" i="23"/>
  <c r="M82" i="23"/>
  <c r="J82" i="23"/>
  <c r="M71" i="25"/>
  <c r="N71" i="25" s="1"/>
  <c r="K64" i="18"/>
  <c r="L64" i="18"/>
  <c r="M64" i="18"/>
  <c r="J64" i="18"/>
  <c r="K55" i="18"/>
  <c r="L55" i="18"/>
  <c r="M55" i="18"/>
  <c r="J55" i="18"/>
  <c r="G41" i="24"/>
  <c r="E41" i="24"/>
  <c r="F41" i="24"/>
  <c r="E45" i="25"/>
  <c r="L80" i="25" s="1"/>
  <c r="F45" i="25"/>
  <c r="M80" i="25" s="1"/>
  <c r="G45" i="25"/>
  <c r="N80" i="25" s="1"/>
  <c r="E44" i="25"/>
  <c r="L79" i="25" s="1"/>
  <c r="F44" i="25"/>
  <c r="M79" i="25" s="1"/>
  <c r="G44" i="25"/>
  <c r="N79" i="25" s="1"/>
  <c r="K110" i="18"/>
  <c r="L110" i="18"/>
  <c r="M110" i="18"/>
  <c r="K111" i="18"/>
  <c r="L111" i="18"/>
  <c r="M111" i="18"/>
  <c r="K112" i="18"/>
  <c r="L112" i="18"/>
  <c r="M112" i="18"/>
  <c r="K113" i="18"/>
  <c r="L113" i="18"/>
  <c r="M113" i="18"/>
  <c r="K114" i="18"/>
  <c r="L114" i="18"/>
  <c r="M114" i="18"/>
  <c r="K115" i="18"/>
  <c r="L115" i="18"/>
  <c r="M115" i="18"/>
  <c r="K116" i="18"/>
  <c r="L116" i="18"/>
  <c r="M116" i="18"/>
  <c r="K117" i="18"/>
  <c r="L117" i="18"/>
  <c r="M117" i="18"/>
  <c r="K118" i="18"/>
  <c r="L118" i="18"/>
  <c r="M118" i="18"/>
  <c r="K119" i="18"/>
  <c r="L119" i="18"/>
  <c r="M119" i="18"/>
  <c r="J111" i="18"/>
  <c r="J112" i="18"/>
  <c r="J113" i="18"/>
  <c r="J114" i="18"/>
  <c r="J115" i="18"/>
  <c r="J116" i="18"/>
  <c r="J117" i="18"/>
  <c r="J118" i="18"/>
  <c r="J119" i="18"/>
  <c r="J110" i="18"/>
  <c r="J214" i="18"/>
  <c r="K214" i="18" s="1"/>
  <c r="K31" i="24" l="1" a="1"/>
  <c r="K31" i="24" s="1"/>
  <c r="N31" i="24" a="1"/>
  <c r="N31" i="24" s="1"/>
  <c r="M31" i="24" a="1"/>
  <c r="M31" i="24" s="1"/>
  <c r="J54" i="18"/>
  <c r="F145" i="18"/>
  <c r="F144" i="18"/>
  <c r="M145" i="18"/>
  <c r="L145" i="18"/>
  <c r="K145" i="18"/>
  <c r="J145" i="18"/>
  <c r="M144" i="18"/>
  <c r="L144" i="18"/>
  <c r="K144" i="18"/>
  <c r="J144" i="18"/>
  <c r="J103" i="23"/>
  <c r="M103" i="23"/>
  <c r="L103" i="23"/>
  <c r="K103" i="23"/>
  <c r="J123" i="8"/>
  <c r="J102" i="23"/>
  <c r="K102" i="23"/>
  <c r="M102" i="23"/>
  <c r="L102" i="23"/>
  <c r="M124" i="8"/>
  <c r="L124" i="8"/>
  <c r="K124" i="8"/>
  <c r="J124" i="8"/>
  <c r="M123" i="8"/>
  <c r="L123" i="8"/>
  <c r="K123" i="8"/>
  <c r="M56" i="8"/>
  <c r="L56" i="8"/>
  <c r="K56" i="8"/>
  <c r="J56" i="8"/>
  <c r="M55" i="8"/>
  <c r="L55" i="8"/>
  <c r="K55" i="8"/>
  <c r="J55" i="8"/>
  <c r="K32" i="8"/>
  <c r="B196" i="18"/>
  <c r="B195" i="18"/>
  <c r="B194" i="18"/>
  <c r="M76" i="25" l="1"/>
  <c r="N76" i="25" s="1"/>
  <c r="N45" i="24"/>
  <c r="M45" i="24"/>
  <c r="N61" i="6"/>
  <c r="M57" i="6"/>
  <c r="N57" i="6" s="1"/>
  <c r="L37" i="25" a="1"/>
  <c r="L37" i="25" s="1"/>
  <c r="M37" i="25" a="1"/>
  <c r="M37" i="25" s="1"/>
  <c r="N37" i="25" a="1"/>
  <c r="N37" i="25" s="1"/>
  <c r="L45" i="25"/>
  <c r="M45" i="25"/>
  <c r="N45" i="25"/>
  <c r="L51" i="25"/>
  <c r="M51" i="25"/>
  <c r="N51" i="25"/>
  <c r="L52" i="25"/>
  <c r="M52" i="25"/>
  <c r="N52" i="25"/>
  <c r="L53" i="25"/>
  <c r="M53" i="25"/>
  <c r="N53" i="25"/>
  <c r="L54" i="25"/>
  <c r="M54" i="25"/>
  <c r="N54" i="25"/>
  <c r="L55" i="25"/>
  <c r="M55" i="25"/>
  <c r="N55" i="25"/>
  <c r="K55" i="25"/>
  <c r="K54" i="25"/>
  <c r="K53" i="25"/>
  <c r="B215" i="18"/>
  <c r="B216" i="18"/>
  <c r="B217" i="18"/>
  <c r="B218" i="18"/>
  <c r="B219" i="18"/>
  <c r="B220" i="18"/>
  <c r="B221" i="18"/>
  <c r="B222" i="18"/>
  <c r="B223" i="18"/>
  <c r="K45" i="25"/>
  <c r="B180" i="18"/>
  <c r="B181" i="18"/>
  <c r="B182" i="18"/>
  <c r="B183" i="18"/>
  <c r="B184" i="18"/>
  <c r="B185" i="18"/>
  <c r="B186" i="18"/>
  <c r="B187" i="18"/>
  <c r="B188" i="18"/>
  <c r="F41" i="25"/>
  <c r="G41" i="25" s="1"/>
  <c r="E40" i="24"/>
  <c r="F40" i="24"/>
  <c r="M47" i="24" s="1"/>
  <c r="G40" i="24"/>
  <c r="N47" i="24" s="1"/>
  <c r="M48" i="24"/>
  <c r="N48" i="24"/>
  <c r="M37" i="24"/>
  <c r="L38" i="24"/>
  <c r="L37" i="24" s="1"/>
  <c r="M38" i="24"/>
  <c r="N38" i="24"/>
  <c r="N37" i="24" s="1"/>
  <c r="L42" i="24"/>
  <c r="M42" i="24"/>
  <c r="N42" i="24"/>
  <c r="K42" i="24"/>
  <c r="K38" i="24"/>
  <c r="F38" i="24"/>
  <c r="G38" i="24" s="1"/>
  <c r="E43" i="6"/>
  <c r="L59" i="6" s="1"/>
  <c r="F43" i="6"/>
  <c r="M59" i="6" s="1"/>
  <c r="G43" i="6"/>
  <c r="N59" i="6" s="1"/>
  <c r="E44" i="6"/>
  <c r="L60" i="6" s="1"/>
  <c r="F44" i="6"/>
  <c r="M60" i="6" s="1"/>
  <c r="G44" i="6"/>
  <c r="N60" i="6" s="1"/>
  <c r="E45" i="6"/>
  <c r="L61" i="6" s="1"/>
  <c r="F45" i="6"/>
  <c r="G45" i="6"/>
  <c r="L40" i="6"/>
  <c r="M40" i="6"/>
  <c r="N40" i="6"/>
  <c r="L41" i="6" a="1"/>
  <c r="L41" i="6" s="1"/>
  <c r="M41" i="6" a="1"/>
  <c r="M41" i="6"/>
  <c r="N41" i="6" a="1"/>
  <c r="N41" i="6" s="1"/>
  <c r="L45" i="6"/>
  <c r="M45" i="6"/>
  <c r="N45" i="6"/>
  <c r="L46" i="6" a="1"/>
  <c r="L46" i="6" s="1"/>
  <c r="M46" i="6" a="1"/>
  <c r="M46" i="6" s="1"/>
  <c r="N46" i="6" a="1"/>
  <c r="N46" i="6" s="1"/>
  <c r="K45" i="6"/>
  <c r="K41" i="6" a="1"/>
  <c r="K41" i="6" s="1"/>
  <c r="K40" i="6"/>
  <c r="J7" i="7"/>
  <c r="D89" i="18" s="1"/>
  <c r="J6" i="7"/>
  <c r="F22" i="18"/>
  <c r="F22" i="23"/>
  <c r="M61" i="6" l="1"/>
  <c r="L47" i="24"/>
  <c r="L48" i="24"/>
  <c r="G38" i="26"/>
  <c r="H38" i="26"/>
  <c r="I38" i="26"/>
  <c r="G81" i="26"/>
  <c r="H81" i="26"/>
  <c r="I81" i="26"/>
  <c r="G103" i="26"/>
  <c r="H103" i="26"/>
  <c r="I103" i="26"/>
  <c r="L21" i="26"/>
  <c r="M21" i="26"/>
  <c r="N21" i="26"/>
  <c r="L22" i="26"/>
  <c r="M22" i="26"/>
  <c r="N22" i="26"/>
  <c r="L23" i="26"/>
  <c r="M23" i="26"/>
  <c r="N23" i="26"/>
  <c r="L24" i="26"/>
  <c r="M24" i="26"/>
  <c r="N24" i="26"/>
  <c r="L25" i="26"/>
  <c r="M25" i="26"/>
  <c r="N25" i="26"/>
  <c r="L26" i="26"/>
  <c r="M26" i="26"/>
  <c r="N26" i="26"/>
  <c r="L27" i="26"/>
  <c r="M27" i="26"/>
  <c r="N27" i="26"/>
  <c r="L28" i="26"/>
  <c r="M28" i="26"/>
  <c r="N28" i="26"/>
  <c r="K25" i="26"/>
  <c r="K24" i="26"/>
  <c r="K23" i="26"/>
  <c r="K22" i="26"/>
  <c r="K21" i="26"/>
  <c r="K28" i="26" l="1"/>
  <c r="K26" i="26"/>
  <c r="K27" i="26"/>
  <c r="M20" i="26"/>
  <c r="N20" i="26" s="1"/>
  <c r="H20" i="26"/>
  <c r="I20" i="26" s="1"/>
  <c r="H97" i="18"/>
  <c r="I97" i="18" s="1"/>
  <c r="H21" i="18"/>
  <c r="I21" i="18" s="1"/>
  <c r="H69" i="23"/>
  <c r="I69" i="23" s="1"/>
  <c r="H21" i="23"/>
  <c r="I21" i="23" s="1"/>
  <c r="K196" i="18"/>
  <c r="L196" i="18" s="1"/>
  <c r="M196" i="18" s="1"/>
  <c r="H76" i="18"/>
  <c r="I76" i="18" s="1"/>
  <c r="J179" i="18"/>
  <c r="C187" i="18"/>
  <c r="D187" i="18"/>
  <c r="F187" i="18"/>
  <c r="G187" i="18"/>
  <c r="H187" i="18"/>
  <c r="I187" i="18"/>
  <c r="J187" i="18"/>
  <c r="C188" i="18"/>
  <c r="D188" i="18"/>
  <c r="F188" i="18"/>
  <c r="G188" i="18"/>
  <c r="H188" i="18"/>
  <c r="I188" i="18"/>
  <c r="J188" i="18"/>
  <c r="K87" i="23"/>
  <c r="L87" i="23" s="1"/>
  <c r="M87" i="23" s="1"/>
  <c r="K86" i="23"/>
  <c r="L86" i="23" s="1"/>
  <c r="M86" i="23" s="1"/>
  <c r="K85" i="23"/>
  <c r="L85" i="23" s="1"/>
  <c r="M85" i="23" s="1"/>
  <c r="H81" i="23"/>
  <c r="I81" i="23" s="1"/>
  <c r="H77" i="8"/>
  <c r="I77" i="8" s="1"/>
  <c r="H21" i="8"/>
  <c r="I21" i="8" s="1"/>
  <c r="C2" i="8"/>
  <c r="F41" i="6"/>
  <c r="G41" i="6" s="1"/>
  <c r="K46" i="6" a="1"/>
  <c r="K46" i="6" s="1"/>
  <c r="B230" i="18"/>
  <c r="N50" i="25"/>
  <c r="M50" i="25"/>
  <c r="L50" i="25"/>
  <c r="B208" i="18"/>
  <c r="B207" i="18"/>
  <c r="B229" i="18"/>
  <c r="B231" i="18"/>
  <c r="B232" i="18"/>
  <c r="B233" i="18"/>
  <c r="B129" i="23"/>
  <c r="B130" i="23"/>
  <c r="B114" i="23"/>
  <c r="B113" i="23"/>
  <c r="B158" i="8"/>
  <c r="B159" i="8"/>
  <c r="B157" i="8"/>
  <c r="B141" i="8"/>
  <c r="B142" i="8"/>
  <c r="B143" i="8"/>
  <c r="K141" i="8"/>
  <c r="G35" i="26"/>
  <c r="I101" i="26"/>
  <c r="H101" i="26"/>
  <c r="G101" i="26"/>
  <c r="F101" i="26"/>
  <c r="H100" i="26"/>
  <c r="I100" i="26" s="1"/>
  <c r="G79" i="26"/>
  <c r="H79" i="26"/>
  <c r="I79" i="26"/>
  <c r="F79" i="26"/>
  <c r="H78" i="26"/>
  <c r="I78" i="26" s="1"/>
  <c r="I36" i="26"/>
  <c r="I35" i="26" s="1"/>
  <c r="H36" i="26"/>
  <c r="H35" i="26" s="1"/>
  <c r="G36" i="26"/>
  <c r="H34" i="26"/>
  <c r="I34" i="26" s="1"/>
  <c r="F31" i="8" l="1"/>
  <c r="F22" i="8"/>
  <c r="B3" i="8"/>
  <c r="F33" i="8"/>
  <c r="F37" i="26"/>
  <c r="K187" i="18"/>
  <c r="L187" i="18" s="1"/>
  <c r="M187" i="18" s="1"/>
  <c r="K188" i="18"/>
  <c r="L188" i="18" s="1"/>
  <c r="M188" i="18" s="1"/>
  <c r="K179" i="18"/>
  <c r="L179" i="18" s="1"/>
  <c r="M179" i="18" s="1"/>
  <c r="F168" i="8"/>
  <c r="F34" i="8"/>
  <c r="F167" i="8"/>
  <c r="F151" i="8"/>
  <c r="F150" i="8"/>
  <c r="D43" i="6" s="1"/>
  <c r="F70" i="8"/>
  <c r="F37" i="8"/>
  <c r="F79" i="8"/>
  <c r="F32" i="8"/>
  <c r="F47" i="8"/>
  <c r="F38" i="8"/>
  <c r="F78" i="8"/>
  <c r="D162" i="18"/>
  <c r="D163" i="18"/>
  <c r="D164" i="18"/>
  <c r="D165" i="18"/>
  <c r="D166" i="18"/>
  <c r="D167" i="18"/>
  <c r="D168" i="18"/>
  <c r="D169" i="18"/>
  <c r="D170" i="18"/>
  <c r="D161" i="18"/>
  <c r="K59" i="6" l="1"/>
  <c r="D44" i="6"/>
  <c r="K60" i="6" s="1"/>
  <c r="F115" i="8"/>
  <c r="D45" i="6"/>
  <c r="K61" i="6" s="1"/>
  <c r="C179" i="18"/>
  <c r="B179" i="18" s="1"/>
  <c r="D180" i="18"/>
  <c r="D181" i="18"/>
  <c r="D182" i="18"/>
  <c r="D183" i="18"/>
  <c r="D184" i="18"/>
  <c r="D185" i="18"/>
  <c r="D186" i="18"/>
  <c r="D179" i="18"/>
  <c r="D215" i="18"/>
  <c r="D216" i="18"/>
  <c r="D217" i="18"/>
  <c r="D218" i="18"/>
  <c r="D219" i="18"/>
  <c r="D220" i="18"/>
  <c r="D221" i="18"/>
  <c r="D222" i="18"/>
  <c r="D223" i="18"/>
  <c r="D214" i="18"/>
  <c r="J215" i="18"/>
  <c r="J216" i="18"/>
  <c r="J217" i="18"/>
  <c r="J218" i="18"/>
  <c r="J219" i="18"/>
  <c r="J220" i="18"/>
  <c r="J221" i="18"/>
  <c r="J222" i="18"/>
  <c r="J223" i="18"/>
  <c r="C215" i="18"/>
  <c r="C216" i="18"/>
  <c r="C217" i="18"/>
  <c r="C218" i="18"/>
  <c r="C219" i="18"/>
  <c r="C220" i="18"/>
  <c r="C221" i="18"/>
  <c r="C222" i="18"/>
  <c r="C223" i="18"/>
  <c r="C214" i="18"/>
  <c r="B214" i="18" s="1"/>
  <c r="J180" i="18"/>
  <c r="K180" i="18" s="1"/>
  <c r="J181" i="18"/>
  <c r="J182" i="18"/>
  <c r="J183" i="18"/>
  <c r="J184" i="18"/>
  <c r="J185" i="18"/>
  <c r="J186" i="18"/>
  <c r="C180" i="18"/>
  <c r="C181" i="18"/>
  <c r="C182" i="18"/>
  <c r="C183" i="18"/>
  <c r="C184" i="18"/>
  <c r="C185" i="18"/>
  <c r="C186" i="18"/>
  <c r="K162" i="18"/>
  <c r="K163" i="18"/>
  <c r="K164" i="18"/>
  <c r="K165" i="18"/>
  <c r="K166" i="18"/>
  <c r="K167" i="18"/>
  <c r="K168" i="18"/>
  <c r="K169" i="18"/>
  <c r="K170" i="18"/>
  <c r="K161" i="18"/>
  <c r="J162" i="18"/>
  <c r="J163" i="18"/>
  <c r="J164" i="18"/>
  <c r="J165" i="18"/>
  <c r="J166" i="18"/>
  <c r="J167" i="18"/>
  <c r="J168" i="18"/>
  <c r="J169" i="18"/>
  <c r="J170" i="18"/>
  <c r="J161" i="18"/>
  <c r="K139" i="18"/>
  <c r="L139" i="18" s="1"/>
  <c r="M139" i="18" s="1"/>
  <c r="M32" i="18"/>
  <c r="L32" i="18"/>
  <c r="K32" i="18"/>
  <c r="M32" i="23"/>
  <c r="L32" i="23"/>
  <c r="K32" i="23"/>
  <c r="M32" i="8"/>
  <c r="L32" i="8"/>
  <c r="K64" i="8"/>
  <c r="K143" i="8"/>
  <c r="L143" i="8" s="1"/>
  <c r="M143" i="8" s="1"/>
  <c r="K142" i="8"/>
  <c r="L142" i="8" s="1"/>
  <c r="M142" i="8" s="1"/>
  <c r="L141" i="8"/>
  <c r="M141" i="8" s="1"/>
  <c r="M65" i="25"/>
  <c r="N65" i="25" s="1"/>
  <c r="M58" i="25"/>
  <c r="N58" i="25" s="1"/>
  <c r="F23" i="25"/>
  <c r="G23" i="25" s="1"/>
  <c r="K37" i="24"/>
  <c r="F23" i="24"/>
  <c r="G23" i="24" s="1"/>
  <c r="K229" i="18"/>
  <c r="L229" i="18"/>
  <c r="M229" i="18"/>
  <c r="K230" i="18"/>
  <c r="L230" i="18"/>
  <c r="M230" i="18"/>
  <c r="K231" i="18"/>
  <c r="L231" i="18"/>
  <c r="M231" i="18"/>
  <c r="K232" i="18"/>
  <c r="L232" i="18"/>
  <c r="M232" i="18"/>
  <c r="K233" i="18"/>
  <c r="L233" i="18"/>
  <c r="M233" i="18"/>
  <c r="K208" i="18"/>
  <c r="K207" i="18"/>
  <c r="K195" i="18"/>
  <c r="L195" i="18" s="1"/>
  <c r="M195" i="18" s="1"/>
  <c r="K194" i="18"/>
  <c r="L194" i="18" s="1"/>
  <c r="M194" i="18" s="1"/>
  <c r="K121" i="18"/>
  <c r="K122" i="18"/>
  <c r="K123" i="18"/>
  <c r="K124" i="18"/>
  <c r="K125" i="18"/>
  <c r="K126" i="18"/>
  <c r="K127" i="18"/>
  <c r="K128" i="18"/>
  <c r="K129" i="18"/>
  <c r="K120" i="18"/>
  <c r="K37" i="18"/>
  <c r="L37" i="18" s="1"/>
  <c r="M37" i="18" s="1"/>
  <c r="K130" i="23"/>
  <c r="L130" i="23" s="1"/>
  <c r="M130" i="23" s="1"/>
  <c r="K129" i="23"/>
  <c r="L129" i="23" s="1"/>
  <c r="M129" i="23" s="1"/>
  <c r="K114" i="23"/>
  <c r="L114" i="23" s="1"/>
  <c r="M114" i="23" s="1"/>
  <c r="K113" i="23"/>
  <c r="L113" i="23" s="1"/>
  <c r="M113" i="23" s="1"/>
  <c r="K97" i="23"/>
  <c r="L97" i="23" s="1"/>
  <c r="M97" i="23" s="1"/>
  <c r="M48" i="23"/>
  <c r="L48" i="23"/>
  <c r="K48" i="23"/>
  <c r="J48" i="23"/>
  <c r="M47" i="23"/>
  <c r="L47" i="23"/>
  <c r="K47" i="23"/>
  <c r="J47" i="23"/>
  <c r="K37" i="23"/>
  <c r="L37" i="23" s="1"/>
  <c r="M37" i="23" s="1"/>
  <c r="F23" i="6"/>
  <c r="G23" i="6" s="1"/>
  <c r="M49" i="6"/>
  <c r="N49" i="6" s="1"/>
  <c r="K37" i="8"/>
  <c r="K118" i="8"/>
  <c r="L118" i="8" s="1"/>
  <c r="M118" i="8" s="1"/>
  <c r="K100" i="8"/>
  <c r="K101" i="8"/>
  <c r="K102" i="8"/>
  <c r="K103" i="8"/>
  <c r="K104" i="8"/>
  <c r="K105" i="8"/>
  <c r="K106" i="8"/>
  <c r="K107" i="8"/>
  <c r="K108" i="8"/>
  <c r="K99" i="8"/>
  <c r="F117" i="8"/>
  <c r="C117" i="8"/>
  <c r="E50" i="8"/>
  <c r="J49" i="8" s="1"/>
  <c r="J63" i="18"/>
  <c r="K158" i="8"/>
  <c r="L158" i="8" s="1"/>
  <c r="M158" i="8" s="1"/>
  <c r="K159" i="8"/>
  <c r="L159" i="8" s="1"/>
  <c r="M159" i="8" s="1"/>
  <c r="K157" i="8"/>
  <c r="L157" i="8" s="1"/>
  <c r="M157" i="8" s="1"/>
  <c r="L213" i="18"/>
  <c r="M213" i="18" s="1"/>
  <c r="H240" i="18"/>
  <c r="I240" i="18" s="1"/>
  <c r="H193" i="18"/>
  <c r="I193" i="18" s="1"/>
  <c r="L178" i="18"/>
  <c r="M178" i="18" s="1"/>
  <c r="G214" i="18"/>
  <c r="H214" i="18"/>
  <c r="I214" i="18"/>
  <c r="G215" i="18"/>
  <c r="H215" i="18"/>
  <c r="I215" i="18"/>
  <c r="G216" i="18"/>
  <c r="H216" i="18"/>
  <c r="I216" i="18"/>
  <c r="G217" i="18"/>
  <c r="H217" i="18"/>
  <c r="I217" i="18"/>
  <c r="G218" i="18"/>
  <c r="H218" i="18"/>
  <c r="I218" i="18"/>
  <c r="G219" i="18"/>
  <c r="H219" i="18"/>
  <c r="I219" i="18"/>
  <c r="G220" i="18"/>
  <c r="H220" i="18"/>
  <c r="I220" i="18"/>
  <c r="G221" i="18"/>
  <c r="H221" i="18"/>
  <c r="I221" i="18"/>
  <c r="G222" i="18"/>
  <c r="H222" i="18"/>
  <c r="I222" i="18"/>
  <c r="G223" i="18"/>
  <c r="H223" i="18"/>
  <c r="I223" i="18"/>
  <c r="F215" i="18"/>
  <c r="F216" i="18"/>
  <c r="F217" i="18"/>
  <c r="F218" i="18"/>
  <c r="F219" i="18"/>
  <c r="F220" i="18"/>
  <c r="F221" i="18"/>
  <c r="F222" i="18"/>
  <c r="F223" i="18"/>
  <c r="F214" i="18"/>
  <c r="H213" i="18"/>
  <c r="I213" i="18" s="1"/>
  <c r="F179" i="18"/>
  <c r="K63" i="18"/>
  <c r="L63" i="18"/>
  <c r="M63" i="18"/>
  <c r="G62" i="18"/>
  <c r="H62" i="18"/>
  <c r="I62" i="18"/>
  <c r="K54" i="18"/>
  <c r="L67" i="25" s="1"/>
  <c r="L72" i="25" s="1"/>
  <c r="L54" i="18"/>
  <c r="M67" i="25" s="1"/>
  <c r="M72" i="25" s="1"/>
  <c r="M54" i="18"/>
  <c r="N67" i="25" s="1"/>
  <c r="N72" i="25" s="1"/>
  <c r="H112" i="23"/>
  <c r="I112" i="23" s="1"/>
  <c r="N26" i="24" l="1"/>
  <c r="K215" i="18"/>
  <c r="L215" i="18" s="1"/>
  <c r="M215" i="18" s="1"/>
  <c r="K184" i="18"/>
  <c r="L184" i="18" s="1"/>
  <c r="M184" i="18" s="1"/>
  <c r="K222" i="18"/>
  <c r="L222" i="18" s="1"/>
  <c r="M222" i="18" s="1"/>
  <c r="K183" i="18"/>
  <c r="L183" i="18" s="1"/>
  <c r="M183" i="18" s="1"/>
  <c r="K221" i="18"/>
  <c r="L221" i="18" s="1"/>
  <c r="M221" i="18" s="1"/>
  <c r="K182" i="18"/>
  <c r="L182" i="18" s="1"/>
  <c r="M182" i="18" s="1"/>
  <c r="K220" i="18"/>
  <c r="L220" i="18" s="1"/>
  <c r="M220" i="18" s="1"/>
  <c r="K185" i="18"/>
  <c r="L185" i="18" s="1"/>
  <c r="M185" i="18" s="1"/>
  <c r="K181" i="18"/>
  <c r="L181" i="18" s="1"/>
  <c r="M181" i="18" s="1"/>
  <c r="K219" i="18"/>
  <c r="L219" i="18" s="1"/>
  <c r="M219" i="18" s="1"/>
  <c r="K223" i="18"/>
  <c r="L223" i="18" s="1"/>
  <c r="M223" i="18" s="1"/>
  <c r="K218" i="18"/>
  <c r="L218" i="18" s="1"/>
  <c r="M218" i="18" s="1"/>
  <c r="K217" i="18"/>
  <c r="L217" i="18" s="1"/>
  <c r="M217" i="18" s="1"/>
  <c r="K186" i="18"/>
  <c r="L186" i="18" s="1"/>
  <c r="M186" i="18" s="1"/>
  <c r="K216" i="18"/>
  <c r="L216" i="18" s="1"/>
  <c r="M216" i="18" s="1"/>
  <c r="N28" i="25"/>
  <c r="M28" i="25"/>
  <c r="L180" i="18"/>
  <c r="M180" i="18" s="1"/>
  <c r="K44" i="25" a="1"/>
  <c r="K44" i="25" s="1"/>
  <c r="K43" i="25" s="1"/>
  <c r="L26" i="24"/>
  <c r="M26" i="24"/>
  <c r="K49" i="25" a="1"/>
  <c r="K49" i="25" s="1"/>
  <c r="L28" i="25"/>
  <c r="L35" i="25" a="1"/>
  <c r="L35" i="25" s="1"/>
  <c r="M35" i="25" a="1"/>
  <c r="M35" i="25" s="1"/>
  <c r="N35" i="25" a="1"/>
  <c r="N35" i="25" s="1"/>
  <c r="L41" i="25" a="1"/>
  <c r="L41" i="25" s="1"/>
  <c r="M41" i="25" a="1"/>
  <c r="M41" i="25" s="1"/>
  <c r="N41" i="25" a="1"/>
  <c r="N41" i="25" s="1"/>
  <c r="M30" i="25" a="1"/>
  <c r="M30" i="25" s="1"/>
  <c r="N30" i="25" a="1"/>
  <c r="N30" i="25" s="1"/>
  <c r="K30" i="25" a="1"/>
  <c r="K30" i="25" s="1"/>
  <c r="L30" i="25" a="1"/>
  <c r="L30" i="25" s="1"/>
  <c r="L32" i="6" a="1"/>
  <c r="L32" i="6" s="1"/>
  <c r="M32" i="6" a="1"/>
  <c r="M32" i="6" s="1"/>
  <c r="N32" i="6" a="1"/>
  <c r="N32" i="6" s="1"/>
  <c r="K26" i="24"/>
  <c r="L68" i="25"/>
  <c r="N68" i="25"/>
  <c r="M68" i="25"/>
  <c r="K37" i="25" a="1"/>
  <c r="K37" i="25" s="1"/>
  <c r="K26" i="6"/>
  <c r="K49" i="8"/>
  <c r="L26" i="6" s="1"/>
  <c r="L49" i="8"/>
  <c r="M26" i="6" s="1"/>
  <c r="M49" i="8"/>
  <c r="N26" i="6" s="1"/>
  <c r="K32" i="6" a="1"/>
  <c r="K32" i="6" s="1"/>
  <c r="K35" i="25" a="1"/>
  <c r="K35" i="25" s="1"/>
  <c r="L37" i="8"/>
  <c r="M37" i="8" s="1"/>
  <c r="H166" i="8"/>
  <c r="I166" i="8" s="1"/>
  <c r="H156" i="8"/>
  <c r="I156" i="8" s="1"/>
  <c r="D2" i="25"/>
  <c r="D2" i="24"/>
  <c r="J47" i="18"/>
  <c r="L214" i="18" l="1"/>
  <c r="L49" i="25" a="1"/>
  <c r="L49" i="25" s="1"/>
  <c r="H92" i="23"/>
  <c r="I92" i="23" s="1"/>
  <c r="H113" i="8"/>
  <c r="I113" i="8" s="1"/>
  <c r="C138" i="18"/>
  <c r="C96" i="23"/>
  <c r="M23" i="25"/>
  <c r="N23" i="25" s="1"/>
  <c r="M23" i="24"/>
  <c r="N23" i="24" s="1"/>
  <c r="M214" i="18" l="1"/>
  <c r="N49" i="25" s="1" a="1"/>
  <c r="N49" i="25" s="1"/>
  <c r="M49" i="25" a="1"/>
  <c r="M49" i="25" s="1"/>
  <c r="L207" i="18"/>
  <c r="M207" i="18" s="1"/>
  <c r="L208" i="18"/>
  <c r="G147" i="18"/>
  <c r="H147" i="18"/>
  <c r="I147" i="18"/>
  <c r="F180" i="18"/>
  <c r="G180" i="18"/>
  <c r="H180" i="18"/>
  <c r="I180" i="18"/>
  <c r="F181" i="18"/>
  <c r="G181" i="18"/>
  <c r="H181" i="18"/>
  <c r="I181" i="18"/>
  <c r="F182" i="18"/>
  <c r="G182" i="18"/>
  <c r="H182" i="18"/>
  <c r="I182" i="18"/>
  <c r="F183" i="18"/>
  <c r="G183" i="18"/>
  <c r="H183" i="18"/>
  <c r="I183" i="18"/>
  <c r="F184" i="18"/>
  <c r="G184" i="18"/>
  <c r="H184" i="18"/>
  <c r="I184" i="18"/>
  <c r="F185" i="18"/>
  <c r="G185" i="18"/>
  <c r="H185" i="18"/>
  <c r="I185" i="18"/>
  <c r="F186" i="18"/>
  <c r="G186" i="18"/>
  <c r="H186" i="18"/>
  <c r="I186" i="18"/>
  <c r="G179" i="18"/>
  <c r="L44" i="25" s="1" a="1"/>
  <c r="L44" i="25" s="1"/>
  <c r="L43" i="25" s="1"/>
  <c r="H179" i="18"/>
  <c r="M44" i="25" s="1" a="1"/>
  <c r="M44" i="25" s="1"/>
  <c r="M43" i="25" s="1"/>
  <c r="I179" i="18"/>
  <c r="N44" i="25" s="1" a="1"/>
  <c r="N44" i="25" s="1"/>
  <c r="N43" i="25" s="1"/>
  <c r="H178" i="18"/>
  <c r="I178" i="18" s="1"/>
  <c r="H128" i="13"/>
  <c r="H129" i="13"/>
  <c r="H130" i="13"/>
  <c r="H131" i="13"/>
  <c r="H132" i="13"/>
  <c r="H133" i="13"/>
  <c r="H134" i="13"/>
  <c r="H135" i="13"/>
  <c r="H137" i="13"/>
  <c r="H138" i="13"/>
  <c r="H139" i="13"/>
  <c r="H140" i="13"/>
  <c r="H141" i="13"/>
  <c r="H142" i="13"/>
  <c r="H143" i="13"/>
  <c r="H144" i="13"/>
  <c r="H145" i="13"/>
  <c r="H146" i="13"/>
  <c r="H147" i="13"/>
  <c r="H148" i="13"/>
  <c r="H149" i="13"/>
  <c r="H150" i="13"/>
  <c r="E132" i="13"/>
  <c r="E128" i="13"/>
  <c r="H127" i="13"/>
  <c r="G136" i="18"/>
  <c r="H136" i="18"/>
  <c r="I136" i="18"/>
  <c r="G137" i="18"/>
  <c r="H137" i="18"/>
  <c r="I137" i="18"/>
  <c r="G138" i="18"/>
  <c r="H138" i="18"/>
  <c r="I138" i="18"/>
  <c r="G139" i="18"/>
  <c r="H139" i="18"/>
  <c r="I139" i="18"/>
  <c r="G140" i="18"/>
  <c r="H140" i="18"/>
  <c r="I140" i="18"/>
  <c r="G141" i="18"/>
  <c r="H141" i="18"/>
  <c r="I141" i="18"/>
  <c r="G142" i="18"/>
  <c r="H142" i="18"/>
  <c r="I142" i="18"/>
  <c r="F141" i="18"/>
  <c r="F142" i="18"/>
  <c r="F140" i="18"/>
  <c r="F138" i="18"/>
  <c r="F137" i="18"/>
  <c r="H134" i="18"/>
  <c r="I134" i="18" s="1"/>
  <c r="L99" i="8"/>
  <c r="M99" i="8" s="1"/>
  <c r="L100" i="8"/>
  <c r="M100" i="8" s="1"/>
  <c r="L101" i="8"/>
  <c r="M101" i="8" s="1"/>
  <c r="L102" i="8"/>
  <c r="M102" i="8" s="1"/>
  <c r="L103" i="8"/>
  <c r="M103" i="8" s="1"/>
  <c r="L104" i="8"/>
  <c r="M104" i="8" s="1"/>
  <c r="L105" i="8"/>
  <c r="M105" i="8" s="1"/>
  <c r="L106" i="8"/>
  <c r="M106" i="8" s="1"/>
  <c r="L107" i="8"/>
  <c r="M107" i="8" s="1"/>
  <c r="L108" i="8"/>
  <c r="M108" i="8" s="1"/>
  <c r="L129" i="18"/>
  <c r="M129" i="18" s="1"/>
  <c r="L128" i="18"/>
  <c r="M128" i="18" s="1"/>
  <c r="L127" i="18"/>
  <c r="M127" i="18" s="1"/>
  <c r="L126" i="18"/>
  <c r="M126" i="18" s="1"/>
  <c r="L125" i="18"/>
  <c r="M125" i="18" s="1"/>
  <c r="L124" i="18"/>
  <c r="M124" i="18" s="1"/>
  <c r="L123" i="18"/>
  <c r="M123" i="18" s="1"/>
  <c r="L122" i="18"/>
  <c r="M122" i="18" s="1"/>
  <c r="L121" i="18"/>
  <c r="M121" i="18" s="1"/>
  <c r="L120" i="18"/>
  <c r="M120" i="18" s="1"/>
  <c r="H109" i="18"/>
  <c r="I109" i="18" s="1"/>
  <c r="K155" i="18"/>
  <c r="L155" i="18"/>
  <c r="M155" i="18"/>
  <c r="J155" i="18"/>
  <c r="K154" i="18"/>
  <c r="L154" i="18"/>
  <c r="M154" i="18"/>
  <c r="J154" i="18"/>
  <c r="J153" i="18"/>
  <c r="K153" i="18"/>
  <c r="L153" i="18"/>
  <c r="M153" i="18"/>
  <c r="E85" i="18"/>
  <c r="G84" i="18"/>
  <c r="H84" i="18"/>
  <c r="I84" i="18"/>
  <c r="F143" i="18"/>
  <c r="J71" i="18"/>
  <c r="K71" i="18"/>
  <c r="L71" i="18"/>
  <c r="M71" i="18"/>
  <c r="M70" i="18"/>
  <c r="L70" i="18"/>
  <c r="K70" i="18"/>
  <c r="J70" i="18"/>
  <c r="I145" i="18"/>
  <c r="G145" i="18"/>
  <c r="H145" i="18"/>
  <c r="L27" i="25"/>
  <c r="L73" i="25" s="1"/>
  <c r="M27" i="25"/>
  <c r="M73" i="25" s="1"/>
  <c r="N27" i="25"/>
  <c r="N73" i="25" s="1"/>
  <c r="N29" i="25" l="1"/>
  <c r="M40" i="25" a="1"/>
  <c r="M40" i="25" s="1"/>
  <c r="K29" i="25"/>
  <c r="N40" i="25" a="1"/>
  <c r="N40" i="25" s="1"/>
  <c r="L40" i="25" a="1"/>
  <c r="L40" i="25" s="1"/>
  <c r="L29" i="25"/>
  <c r="M29" i="25"/>
  <c r="G146" i="18"/>
  <c r="I146" i="18"/>
  <c r="H135" i="18"/>
  <c r="H146" i="18"/>
  <c r="G135" i="18"/>
  <c r="I135" i="18"/>
  <c r="I144" i="18"/>
  <c r="M208" i="18"/>
  <c r="H144" i="18"/>
  <c r="G144" i="18"/>
  <c r="K47" i="18"/>
  <c r="L26" i="25" s="1"/>
  <c r="L47" i="18"/>
  <c r="M26" i="25" s="1"/>
  <c r="M47" i="18"/>
  <c r="N26" i="25" s="1"/>
  <c r="E42" i="18"/>
  <c r="I38" i="18"/>
  <c r="H38" i="18"/>
  <c r="G38" i="18"/>
  <c r="I34" i="18"/>
  <c r="H34" i="18"/>
  <c r="G34" i="18"/>
  <c r="M84" i="18"/>
  <c r="N33" i="25" s="1"/>
  <c r="L84" i="18"/>
  <c r="M33" i="25" s="1"/>
  <c r="K84" i="18"/>
  <c r="L33" i="25" s="1"/>
  <c r="H30" i="18"/>
  <c r="I30" i="18" s="1"/>
  <c r="K56" i="23"/>
  <c r="L29" i="24" s="1"/>
  <c r="C2" i="23"/>
  <c r="H128" i="23"/>
  <c r="I128" i="23" s="1"/>
  <c r="H121" i="23"/>
  <c r="I121" i="23" s="1"/>
  <c r="I105" i="23"/>
  <c r="H105" i="23"/>
  <c r="G105" i="23"/>
  <c r="I104" i="23"/>
  <c r="H104" i="23"/>
  <c r="G104" i="23"/>
  <c r="I103" i="23"/>
  <c r="H103" i="23"/>
  <c r="G103" i="23"/>
  <c r="F103" i="23"/>
  <c r="I102" i="23"/>
  <c r="N33" i="24" s="1" a="1"/>
  <c r="N33" i="24" s="1"/>
  <c r="H102" i="23"/>
  <c r="M33" i="24" s="1" a="1"/>
  <c r="M33" i="24" s="1"/>
  <c r="G102" i="23"/>
  <c r="L33" i="24" s="1" a="1"/>
  <c r="L33" i="24" s="1"/>
  <c r="F102" i="23"/>
  <c r="I100" i="23"/>
  <c r="H100" i="23"/>
  <c r="G100" i="23"/>
  <c r="F100" i="23"/>
  <c r="I99" i="23"/>
  <c r="H99" i="23"/>
  <c r="G99" i="23"/>
  <c r="F99" i="23"/>
  <c r="I98" i="23"/>
  <c r="H98" i="23"/>
  <c r="G98" i="23"/>
  <c r="F98" i="23"/>
  <c r="I97" i="23"/>
  <c r="H97" i="23"/>
  <c r="G97" i="23"/>
  <c r="I96" i="23"/>
  <c r="H96" i="23"/>
  <c r="G96" i="23"/>
  <c r="F96" i="23"/>
  <c r="I95" i="23"/>
  <c r="H95" i="23"/>
  <c r="G95" i="23"/>
  <c r="F95" i="23"/>
  <c r="I94" i="23"/>
  <c r="H94" i="23"/>
  <c r="G94" i="23"/>
  <c r="H61" i="23"/>
  <c r="I61" i="23" s="1"/>
  <c r="E57" i="23"/>
  <c r="I56" i="23"/>
  <c r="H56" i="23"/>
  <c r="G56" i="23"/>
  <c r="H55" i="23"/>
  <c r="I55" i="23" s="1"/>
  <c r="H46" i="23"/>
  <c r="I46" i="23" s="1"/>
  <c r="E42" i="23"/>
  <c r="J56" i="23" s="1"/>
  <c r="I38" i="23"/>
  <c r="H38" i="23"/>
  <c r="G38" i="23"/>
  <c r="I34" i="23"/>
  <c r="H34" i="23"/>
  <c r="G34" i="23"/>
  <c r="G31" i="23" s="1"/>
  <c r="E39" i="24" s="1"/>
  <c r="M56" i="23"/>
  <c r="L56" i="23"/>
  <c r="H30" i="23"/>
  <c r="I30" i="23" s="1"/>
  <c r="G126" i="8"/>
  <c r="H126" i="8"/>
  <c r="I126" i="8"/>
  <c r="G125" i="8"/>
  <c r="H125" i="8"/>
  <c r="I125" i="8"/>
  <c r="G123" i="8"/>
  <c r="H123" i="8"/>
  <c r="I123" i="8"/>
  <c r="G124" i="8"/>
  <c r="H124" i="8"/>
  <c r="I124" i="8"/>
  <c r="F124" i="8"/>
  <c r="F123" i="8"/>
  <c r="G115" i="8"/>
  <c r="H115" i="8"/>
  <c r="I115" i="8"/>
  <c r="G116" i="8"/>
  <c r="H116" i="8"/>
  <c r="I116" i="8"/>
  <c r="G117" i="8"/>
  <c r="H117" i="8"/>
  <c r="I117" i="8"/>
  <c r="G118" i="8"/>
  <c r="H118" i="8"/>
  <c r="I118" i="8"/>
  <c r="G119" i="8"/>
  <c r="H119" i="8"/>
  <c r="I119" i="8"/>
  <c r="G120" i="8"/>
  <c r="H120" i="8"/>
  <c r="I120" i="8"/>
  <c r="G121" i="8"/>
  <c r="H121" i="8"/>
  <c r="I121" i="8"/>
  <c r="F120" i="8"/>
  <c r="F121" i="8"/>
  <c r="F119" i="8"/>
  <c r="F116" i="8"/>
  <c r="E65" i="8"/>
  <c r="K27" i="6"/>
  <c r="N27" i="6"/>
  <c r="M27" i="6"/>
  <c r="L27" i="6"/>
  <c r="E42" i="8"/>
  <c r="J64" i="8" s="1"/>
  <c r="M64" i="8"/>
  <c r="L64" i="8"/>
  <c r="E130" i="13"/>
  <c r="B14" i="13"/>
  <c r="J45" i="13" s="1"/>
  <c r="M121" i="8" s="1"/>
  <c r="B15" i="13"/>
  <c r="C46" i="13" s="1"/>
  <c r="B16" i="13"/>
  <c r="F47" i="13" s="1"/>
  <c r="B17" i="13"/>
  <c r="H48" i="13" s="1"/>
  <c r="L120" i="8" s="1"/>
  <c r="B18" i="13"/>
  <c r="J49" i="13" s="1"/>
  <c r="M119" i="8" s="1"/>
  <c r="J134" i="8"/>
  <c r="B13" i="13"/>
  <c r="H44" i="13" s="1"/>
  <c r="L116" i="8" s="1"/>
  <c r="B12" i="13"/>
  <c r="F43" i="13" s="1"/>
  <c r="B11" i="13"/>
  <c r="E42" i="13" s="1"/>
  <c r="B10" i="13"/>
  <c r="J41" i="13" s="1"/>
  <c r="B9" i="13"/>
  <c r="N29" i="24" l="1"/>
  <c r="F101" i="23"/>
  <c r="K33" i="24" a="1"/>
  <c r="K33" i="24" s="1"/>
  <c r="M29" i="24"/>
  <c r="L46" i="24"/>
  <c r="E42" i="24"/>
  <c r="L49" i="24" s="1"/>
  <c r="F123" i="23"/>
  <c r="F122" i="23"/>
  <c r="F34" i="23"/>
  <c r="F33" i="23"/>
  <c r="F32" i="23"/>
  <c r="F71" i="23"/>
  <c r="F31" i="23"/>
  <c r="F62" i="23"/>
  <c r="F105" i="23" s="1"/>
  <c r="F38" i="23"/>
  <c r="F37" i="23"/>
  <c r="F97" i="23" s="1"/>
  <c r="F70" i="23"/>
  <c r="J33" i="8"/>
  <c r="J33" i="23"/>
  <c r="J33" i="18"/>
  <c r="G40" i="13"/>
  <c r="C40" i="13"/>
  <c r="J135" i="8"/>
  <c r="K135" i="8" s="1"/>
  <c r="L135" i="8" s="1"/>
  <c r="M135" i="8" s="1"/>
  <c r="K138" i="18"/>
  <c r="K117" i="8"/>
  <c r="K96" i="23"/>
  <c r="H93" i="23"/>
  <c r="H101" i="23"/>
  <c r="G101" i="23"/>
  <c r="I101" i="23"/>
  <c r="I93" i="23"/>
  <c r="H143" i="18"/>
  <c r="I143" i="18"/>
  <c r="G143" i="18"/>
  <c r="G93" i="23"/>
  <c r="H114" i="8"/>
  <c r="H122" i="8"/>
  <c r="G122" i="8"/>
  <c r="L137" i="18"/>
  <c r="L95" i="23"/>
  <c r="M98" i="23"/>
  <c r="M140" i="18"/>
  <c r="L99" i="23"/>
  <c r="L141" i="18"/>
  <c r="M100" i="23"/>
  <c r="M142" i="18"/>
  <c r="I114" i="8"/>
  <c r="I122" i="8"/>
  <c r="G114" i="8"/>
  <c r="F122" i="8"/>
  <c r="K41" i="25" a="1"/>
  <c r="K41" i="25" s="1"/>
  <c r="H31" i="18"/>
  <c r="F42" i="25" s="1"/>
  <c r="I31" i="18"/>
  <c r="G42" i="25" s="1"/>
  <c r="J125" i="8"/>
  <c r="J167" i="8" s="1"/>
  <c r="K52" i="6" s="1"/>
  <c r="K125" i="8"/>
  <c r="L36" i="6" s="1"/>
  <c r="L125" i="8"/>
  <c r="L151" i="8" s="1"/>
  <c r="M44" i="6" s="1"/>
  <c r="M125" i="8"/>
  <c r="M151" i="8" s="1"/>
  <c r="N44" i="6" s="1"/>
  <c r="G31" i="18"/>
  <c r="E42" i="25" s="1"/>
  <c r="H31" i="23"/>
  <c r="F39" i="24" s="1"/>
  <c r="K134" i="8"/>
  <c r="K146" i="18"/>
  <c r="L146" i="18"/>
  <c r="M39" i="25" s="1"/>
  <c r="J146" i="18"/>
  <c r="J242" i="18" s="1"/>
  <c r="M146" i="18"/>
  <c r="D40" i="13"/>
  <c r="I31" i="23"/>
  <c r="G39" i="24" s="1"/>
  <c r="J104" i="23"/>
  <c r="K104" i="23"/>
  <c r="M104" i="23"/>
  <c r="N35" i="24" s="1"/>
  <c r="L104" i="23"/>
  <c r="M35" i="24" s="1"/>
  <c r="C45" i="13"/>
  <c r="I45" i="13"/>
  <c r="M41" i="8" s="1"/>
  <c r="E47" i="13"/>
  <c r="I49" i="13"/>
  <c r="M39" i="8" s="1"/>
  <c r="G48" i="13"/>
  <c r="L40" i="8" s="1"/>
  <c r="E43" i="13"/>
  <c r="I41" i="13"/>
  <c r="C42" i="13"/>
  <c r="F40" i="13"/>
  <c r="D47" i="13"/>
  <c r="C44" i="13"/>
  <c r="J35" i="8" s="1"/>
  <c r="D46" i="13"/>
  <c r="J115" i="8" s="1"/>
  <c r="H49" i="13"/>
  <c r="L119" i="8" s="1"/>
  <c r="F48" i="13"/>
  <c r="K120" i="8" s="1"/>
  <c r="J46" i="13"/>
  <c r="M115" i="8" s="1"/>
  <c r="H45" i="13"/>
  <c r="L121" i="8" s="1"/>
  <c r="F44" i="13"/>
  <c r="J42" i="13"/>
  <c r="H41" i="13"/>
  <c r="E40" i="13"/>
  <c r="C43" i="13"/>
  <c r="D45" i="13"/>
  <c r="J121" i="8" s="1"/>
  <c r="G49" i="13"/>
  <c r="L39" i="8" s="1"/>
  <c r="E48" i="13"/>
  <c r="K40" i="8" s="1"/>
  <c r="I46" i="13"/>
  <c r="M33" i="8" s="1"/>
  <c r="G45" i="13"/>
  <c r="L41" i="8" s="1"/>
  <c r="E44" i="13"/>
  <c r="K35" i="8" s="1"/>
  <c r="I42" i="13"/>
  <c r="G41" i="13"/>
  <c r="J40" i="13"/>
  <c r="D44" i="13"/>
  <c r="J116" i="8" s="1"/>
  <c r="F49" i="13"/>
  <c r="K119" i="8" s="1"/>
  <c r="J47" i="13"/>
  <c r="H46" i="13"/>
  <c r="L115" i="8" s="1"/>
  <c r="F45" i="13"/>
  <c r="K121" i="8" s="1"/>
  <c r="J43" i="13"/>
  <c r="H42" i="13"/>
  <c r="F41" i="13"/>
  <c r="C49" i="13"/>
  <c r="J39" i="8" s="1"/>
  <c r="C41" i="13"/>
  <c r="D43" i="13"/>
  <c r="E49" i="13"/>
  <c r="K39" i="8" s="1"/>
  <c r="I47" i="13"/>
  <c r="G46" i="13"/>
  <c r="L33" i="8" s="1"/>
  <c r="E45" i="13"/>
  <c r="K41" i="8" s="1"/>
  <c r="I43" i="13"/>
  <c r="G42" i="13"/>
  <c r="E41" i="13"/>
  <c r="C48" i="13"/>
  <c r="J40" i="8" s="1"/>
  <c r="D42" i="13"/>
  <c r="K34" i="6" s="1" a="1"/>
  <c r="K34" i="6" s="1"/>
  <c r="J48" i="13"/>
  <c r="M120" i="8" s="1"/>
  <c r="H47" i="13"/>
  <c r="F46" i="13"/>
  <c r="K115" i="8" s="1"/>
  <c r="J44" i="13"/>
  <c r="M116" i="8" s="1"/>
  <c r="H43" i="13"/>
  <c r="F42" i="13"/>
  <c r="L34" i="6" s="1" a="1"/>
  <c r="L34" i="6" s="1"/>
  <c r="I40" i="13"/>
  <c r="G44" i="13"/>
  <c r="L35" i="8" s="1"/>
  <c r="C47" i="13"/>
  <c r="D49" i="13"/>
  <c r="J119" i="8" s="1"/>
  <c r="D41" i="13"/>
  <c r="I48" i="13"/>
  <c r="M40" i="8" s="1"/>
  <c r="G47" i="13"/>
  <c r="E46" i="13"/>
  <c r="K33" i="8" s="1"/>
  <c r="I44" i="13"/>
  <c r="M35" i="8" s="1"/>
  <c r="G43" i="13"/>
  <c r="H40" i="13"/>
  <c r="D48" i="13"/>
  <c r="J120" i="8" s="1"/>
  <c r="H160" i="18"/>
  <c r="I160" i="18" s="1"/>
  <c r="H152" i="18"/>
  <c r="I152" i="18" s="1"/>
  <c r="H60" i="18"/>
  <c r="I60" i="18" s="1"/>
  <c r="H52" i="18"/>
  <c r="H46" i="18"/>
  <c r="H204" i="18"/>
  <c r="F43" i="25" s="1"/>
  <c r="M78" i="25" s="1"/>
  <c r="I204" i="18"/>
  <c r="G43" i="25" s="1"/>
  <c r="N78" i="25" s="1"/>
  <c r="G204" i="18"/>
  <c r="E43" i="25" s="1"/>
  <c r="L78" i="25" s="1"/>
  <c r="C2" i="18"/>
  <c r="F204" i="18" s="1"/>
  <c r="H228" i="18"/>
  <c r="I228" i="18" s="1"/>
  <c r="H202" i="18"/>
  <c r="I202" i="18" s="1"/>
  <c r="H89" i="18"/>
  <c r="I89" i="18" s="1"/>
  <c r="H83" i="18"/>
  <c r="I83" i="18" s="1"/>
  <c r="H69" i="18"/>
  <c r="I69" i="18" s="1"/>
  <c r="D69" i="8"/>
  <c r="H38" i="8"/>
  <c r="I38" i="8"/>
  <c r="G38" i="8"/>
  <c r="H34" i="8"/>
  <c r="I34" i="8"/>
  <c r="G34" i="8"/>
  <c r="G64" i="8"/>
  <c r="L30" i="6" s="1"/>
  <c r="H64" i="8"/>
  <c r="M30" i="6" s="1"/>
  <c r="I64" i="8"/>
  <c r="N30" i="6" s="1"/>
  <c r="D2" i="6"/>
  <c r="M23" i="6"/>
  <c r="N23" i="6" s="1"/>
  <c r="G47" i="25" l="1"/>
  <c r="G46" i="25"/>
  <c r="N81" i="25" s="1"/>
  <c r="N77" i="25"/>
  <c r="N46" i="24"/>
  <c r="G42" i="24"/>
  <c r="N49" i="24" s="1"/>
  <c r="M46" i="24"/>
  <c r="F42" i="24"/>
  <c r="M49" i="24" s="1"/>
  <c r="D40" i="24"/>
  <c r="K47" i="24" s="1"/>
  <c r="F61" i="18"/>
  <c r="F62" i="18" s="1"/>
  <c r="K28" i="25" s="1"/>
  <c r="F80" i="26"/>
  <c r="F81" i="26" s="1"/>
  <c r="F155" i="18"/>
  <c r="F154" i="18"/>
  <c r="F153" i="18"/>
  <c r="F241" i="18"/>
  <c r="F31" i="18"/>
  <c r="F208" i="18"/>
  <c r="K52" i="25" s="1"/>
  <c r="F53" i="18"/>
  <c r="K27" i="25" s="1"/>
  <c r="K73" i="25" s="1"/>
  <c r="K51" i="25"/>
  <c r="F47" i="18"/>
  <c r="K26" i="25" s="1"/>
  <c r="F206" i="18"/>
  <c r="K50" i="25" s="1"/>
  <c r="F38" i="18"/>
  <c r="F34" i="18"/>
  <c r="F33" i="18"/>
  <c r="F242" i="18"/>
  <c r="K62" i="25" s="1"/>
  <c r="F98" i="18"/>
  <c r="F32" i="18"/>
  <c r="F84" i="18" s="1"/>
  <c r="K33" i="25" s="1"/>
  <c r="F37" i="18"/>
  <c r="F139" i="18" s="1"/>
  <c r="F99" i="18"/>
  <c r="B31" i="23"/>
  <c r="D39" i="24"/>
  <c r="K46" i="24" s="1"/>
  <c r="D41" i="24"/>
  <c r="F46" i="25"/>
  <c r="M81" i="25" s="1"/>
  <c r="M77" i="25"/>
  <c r="F47" i="25"/>
  <c r="L77" i="25"/>
  <c r="E46" i="25"/>
  <c r="L81" i="25" s="1"/>
  <c r="E47" i="25"/>
  <c r="K39" i="6"/>
  <c r="K38" i="6" s="1"/>
  <c r="M36" i="18"/>
  <c r="M36" i="23"/>
  <c r="K36" i="23"/>
  <c r="K36" i="18"/>
  <c r="L39" i="6"/>
  <c r="L38" i="6" s="1"/>
  <c r="K36" i="8"/>
  <c r="J36" i="23"/>
  <c r="M36" i="8"/>
  <c r="J36" i="18"/>
  <c r="L36" i="8"/>
  <c r="J36" i="8"/>
  <c r="L36" i="23"/>
  <c r="L36" i="18"/>
  <c r="J151" i="8"/>
  <c r="K44" i="6" s="1"/>
  <c r="M242" i="18"/>
  <c r="N62" i="25" s="1"/>
  <c r="N39" i="25"/>
  <c r="M36" i="6"/>
  <c r="K205" i="18"/>
  <c r="L48" i="25" s="1"/>
  <c r="L39" i="25"/>
  <c r="K123" i="23"/>
  <c r="L41" i="24" s="1"/>
  <c r="L35" i="24"/>
  <c r="J123" i="23"/>
  <c r="K41" i="24" s="1"/>
  <c r="N36" i="6"/>
  <c r="M138" i="18"/>
  <c r="M117" i="8"/>
  <c r="N33" i="6" s="1" a="1"/>
  <c r="N33" i="6" s="1"/>
  <c r="M96" i="23"/>
  <c r="L117" i="8"/>
  <c r="M33" i="6" s="1" a="1"/>
  <c r="M33" i="6" s="1"/>
  <c r="L138" i="18"/>
  <c r="L96" i="23"/>
  <c r="J96" i="23"/>
  <c r="J117" i="8"/>
  <c r="J138" i="18"/>
  <c r="M123" i="23"/>
  <c r="N41" i="24" s="1"/>
  <c r="K242" i="18"/>
  <c r="L62" i="25" s="1"/>
  <c r="J241" i="18"/>
  <c r="L242" i="18"/>
  <c r="M62" i="25" s="1"/>
  <c r="L123" i="23"/>
  <c r="M41" i="24" s="1"/>
  <c r="J205" i="18"/>
  <c r="L241" i="18"/>
  <c r="M61" i="25" s="1"/>
  <c r="L205" i="18"/>
  <c r="M48" i="25" s="1"/>
  <c r="M241" i="18"/>
  <c r="N61" i="25" s="1"/>
  <c r="K241" i="18"/>
  <c r="L61" i="25" s="1"/>
  <c r="L60" i="25" s="1"/>
  <c r="M205" i="18"/>
  <c r="N48" i="25" s="1"/>
  <c r="M168" i="8"/>
  <c r="N53" i="6" s="1"/>
  <c r="M167" i="8"/>
  <c r="N52" i="6" s="1"/>
  <c r="L168" i="8"/>
  <c r="M53" i="6" s="1"/>
  <c r="K151" i="8"/>
  <c r="L44" i="6" s="1"/>
  <c r="K167" i="8"/>
  <c r="L52" i="6" s="1"/>
  <c r="K168" i="8"/>
  <c r="L53" i="6" s="1"/>
  <c r="J168" i="8"/>
  <c r="K53" i="6" s="1"/>
  <c r="L167" i="8"/>
  <c r="M52" i="6" s="1"/>
  <c r="F103" i="26"/>
  <c r="J41" i="18"/>
  <c r="J41" i="23"/>
  <c r="M136" i="18"/>
  <c r="M94" i="23"/>
  <c r="M40" i="23"/>
  <c r="M40" i="18"/>
  <c r="M95" i="23"/>
  <c r="M137" i="18"/>
  <c r="N34" i="6" a="1"/>
  <c r="N34" i="6" s="1"/>
  <c r="J100" i="23"/>
  <c r="J142" i="18"/>
  <c r="K99" i="23"/>
  <c r="K141" i="18"/>
  <c r="K33" i="23"/>
  <c r="K33" i="18"/>
  <c r="L100" i="23"/>
  <c r="L142" i="18"/>
  <c r="L39" i="23"/>
  <c r="L39" i="18"/>
  <c r="K136" i="18"/>
  <c r="K94" i="23"/>
  <c r="K41" i="23"/>
  <c r="K41" i="18"/>
  <c r="L98" i="23"/>
  <c r="L140" i="18"/>
  <c r="K40" i="18"/>
  <c r="K40" i="23"/>
  <c r="J95" i="23"/>
  <c r="J137" i="18"/>
  <c r="J141" i="18"/>
  <c r="J99" i="23"/>
  <c r="J98" i="23"/>
  <c r="J140" i="18"/>
  <c r="L33" i="18"/>
  <c r="L33" i="23"/>
  <c r="J94" i="23"/>
  <c r="J136" i="18"/>
  <c r="L40" i="23"/>
  <c r="L40" i="18"/>
  <c r="J39" i="23"/>
  <c r="J39" i="18"/>
  <c r="M34" i="6" a="1"/>
  <c r="M34" i="6" s="1"/>
  <c r="M141" i="18"/>
  <c r="M99" i="23"/>
  <c r="K100" i="23"/>
  <c r="K142" i="18"/>
  <c r="K35" i="18"/>
  <c r="K35" i="23"/>
  <c r="J35" i="23"/>
  <c r="J35" i="18"/>
  <c r="M39" i="23"/>
  <c r="M39" i="18"/>
  <c r="M35" i="23"/>
  <c r="M35" i="18"/>
  <c r="K98" i="23"/>
  <c r="K140" i="18"/>
  <c r="L35" i="23"/>
  <c r="L35" i="18"/>
  <c r="K39" i="23"/>
  <c r="K39" i="18"/>
  <c r="L136" i="18"/>
  <c r="L94" i="23"/>
  <c r="L41" i="23"/>
  <c r="L41" i="18"/>
  <c r="J40" i="23"/>
  <c r="J40" i="18"/>
  <c r="M33" i="23"/>
  <c r="M33" i="18"/>
  <c r="K137" i="18"/>
  <c r="K116" i="8"/>
  <c r="L33" i="6" s="1" a="1"/>
  <c r="L33" i="6" s="1"/>
  <c r="K95" i="23"/>
  <c r="M41" i="23"/>
  <c r="M41" i="18"/>
  <c r="F90" i="18"/>
  <c r="F147" i="18" s="1"/>
  <c r="M126" i="8"/>
  <c r="N35" i="6" s="1"/>
  <c r="J126" i="8"/>
  <c r="B3" i="23"/>
  <c r="C3" i="25"/>
  <c r="C3" i="24"/>
  <c r="B3" i="18"/>
  <c r="L134" i="8"/>
  <c r="M39" i="6" s="1"/>
  <c r="M38" i="6" s="1"/>
  <c r="F94" i="23"/>
  <c r="D61" i="23"/>
  <c r="J105" i="23" s="1"/>
  <c r="K34" i="24" s="1"/>
  <c r="J70" i="8"/>
  <c r="M70" i="8"/>
  <c r="N29" i="6" s="1"/>
  <c r="N28" i="6" s="1"/>
  <c r="L70" i="8"/>
  <c r="M29" i="6" s="1"/>
  <c r="M28" i="6" s="1"/>
  <c r="K70" i="8"/>
  <c r="L29" i="6" s="1"/>
  <c r="L28" i="6" s="1"/>
  <c r="K126" i="8"/>
  <c r="L35" i="6" s="1"/>
  <c r="L126" i="8"/>
  <c r="M35" i="6" s="1"/>
  <c r="J41" i="8"/>
  <c r="K25" i="6" s="1"/>
  <c r="K24" i="6" s="1"/>
  <c r="D24" i="6" s="1"/>
  <c r="I52" i="18"/>
  <c r="I46" i="18"/>
  <c r="F56" i="23"/>
  <c r="K29" i="24" s="1"/>
  <c r="F104" i="23"/>
  <c r="K35" i="24" s="1"/>
  <c r="G31" i="8"/>
  <c r="E42" i="6" s="1"/>
  <c r="H31" i="8"/>
  <c r="F42" i="6" s="1"/>
  <c r="I31" i="8"/>
  <c r="G42" i="6" s="1"/>
  <c r="K40" i="25" l="1" a="1"/>
  <c r="K40" i="25" s="1"/>
  <c r="K48" i="25"/>
  <c r="N82" i="25"/>
  <c r="N83" i="25"/>
  <c r="G47" i="6"/>
  <c r="N63" i="6" s="1"/>
  <c r="G46" i="6"/>
  <c r="N62" i="6" s="1"/>
  <c r="F46" i="6"/>
  <c r="M62" i="6" s="1"/>
  <c r="F47" i="6"/>
  <c r="M63" i="6" s="1"/>
  <c r="E46" i="6"/>
  <c r="L62" i="6" s="1"/>
  <c r="E47" i="6"/>
  <c r="L63" i="6" s="1"/>
  <c r="D43" i="25"/>
  <c r="K78" i="25" s="1"/>
  <c r="K61" i="25"/>
  <c r="K60" i="25" s="1"/>
  <c r="D29" i="25" s="1"/>
  <c r="B31" i="18"/>
  <c r="D42" i="25"/>
  <c r="K77" i="25" s="1"/>
  <c r="D45" i="25"/>
  <c r="K80" i="25" s="1"/>
  <c r="D42" i="24"/>
  <c r="K49" i="24" s="1"/>
  <c r="K48" i="24"/>
  <c r="D44" i="25"/>
  <c r="M82" i="25"/>
  <c r="M83" i="25"/>
  <c r="L82" i="25"/>
  <c r="L83" i="25"/>
  <c r="E29" i="25"/>
  <c r="K32" i="24" a="1"/>
  <c r="K32" i="24" s="1"/>
  <c r="K30" i="24" s="1"/>
  <c r="D26" i="24" s="1"/>
  <c r="M32" i="24" a="1"/>
  <c r="M32" i="24" s="1"/>
  <c r="M51" i="6"/>
  <c r="L25" i="24"/>
  <c r="L24" i="24" s="1"/>
  <c r="E24" i="24" s="1"/>
  <c r="M36" i="25" a="1"/>
  <c r="M36" i="25" s="1"/>
  <c r="L32" i="24" a="1"/>
  <c r="L32" i="24" s="1"/>
  <c r="L36" i="25" a="1"/>
  <c r="L36" i="25" s="1"/>
  <c r="M25" i="24"/>
  <c r="M24" i="24" s="1"/>
  <c r="F24" i="24" s="1"/>
  <c r="N36" i="25" a="1"/>
  <c r="N36" i="25" s="1"/>
  <c r="N60" i="25"/>
  <c r="N32" i="24" a="1"/>
  <c r="N32" i="24" s="1"/>
  <c r="K25" i="25"/>
  <c r="K24" i="25" s="1"/>
  <c r="D24" i="25" s="1"/>
  <c r="M25" i="25"/>
  <c r="M24" i="25" s="1"/>
  <c r="F24" i="25" s="1"/>
  <c r="N25" i="24"/>
  <c r="N24" i="24" s="1"/>
  <c r="G24" i="24" s="1"/>
  <c r="K25" i="24"/>
  <c r="K24" i="24" s="1"/>
  <c r="D24" i="24" s="1"/>
  <c r="M60" i="25"/>
  <c r="N25" i="25"/>
  <c r="N24" i="25" s="1"/>
  <c r="G24" i="25" s="1"/>
  <c r="K29" i="6"/>
  <c r="J150" i="8"/>
  <c r="K43" i="6" s="1"/>
  <c r="K42" i="6" s="1"/>
  <c r="L25" i="25"/>
  <c r="L24" i="25" s="1"/>
  <c r="E24" i="25" s="1"/>
  <c r="N51" i="6"/>
  <c r="L51" i="6"/>
  <c r="L25" i="6"/>
  <c r="L24" i="6" s="1"/>
  <c r="E24" i="6" s="1"/>
  <c r="N25" i="6"/>
  <c r="N24" i="6" s="1"/>
  <c r="G24" i="6" s="1"/>
  <c r="L58" i="6"/>
  <c r="M25" i="6"/>
  <c r="M24" i="6" s="1"/>
  <c r="F24" i="6" s="1"/>
  <c r="N58" i="6"/>
  <c r="M31" i="6"/>
  <c r="F26" i="6" s="1"/>
  <c r="N31" i="6"/>
  <c r="G26" i="6" s="1"/>
  <c r="M58" i="6"/>
  <c r="L31" i="6"/>
  <c r="E26" i="6" s="1"/>
  <c r="G25" i="6"/>
  <c r="M150" i="8"/>
  <c r="N43" i="6" s="1"/>
  <c r="N42" i="6" s="1"/>
  <c r="E25" i="6"/>
  <c r="K150" i="8"/>
  <c r="F25" i="6"/>
  <c r="L150" i="8"/>
  <c r="K68" i="25"/>
  <c r="K67" i="25"/>
  <c r="K72" i="25" s="1"/>
  <c r="F93" i="23"/>
  <c r="J147" i="18"/>
  <c r="K38" i="25" s="1"/>
  <c r="J90" i="18"/>
  <c r="K147" i="18"/>
  <c r="L38" i="25" s="1"/>
  <c r="M147" i="18"/>
  <c r="N38" i="25" s="1"/>
  <c r="L147" i="18"/>
  <c r="M38" i="25" s="1"/>
  <c r="M134" i="8"/>
  <c r="N39" i="6" s="1"/>
  <c r="N38" i="6" s="1"/>
  <c r="F146" i="18"/>
  <c r="K39" i="25" s="1"/>
  <c r="M90" i="18"/>
  <c r="N32" i="25" s="1"/>
  <c r="N31" i="25" s="1"/>
  <c r="L90" i="18"/>
  <c r="M32" i="25" s="1"/>
  <c r="M31" i="25" s="1"/>
  <c r="K90" i="18"/>
  <c r="L32" i="25" s="1"/>
  <c r="L31" i="25" s="1"/>
  <c r="F136" i="18"/>
  <c r="K36" i="25" s="1" a="1"/>
  <c r="K36" i="25" s="1"/>
  <c r="M105" i="23"/>
  <c r="N34" i="24" s="1"/>
  <c r="L62" i="23"/>
  <c r="M28" i="24" s="1"/>
  <c r="M27" i="24" s="1"/>
  <c r="J62" i="23"/>
  <c r="K62" i="23"/>
  <c r="L28" i="24" s="1"/>
  <c r="L27" i="24" s="1"/>
  <c r="L105" i="23"/>
  <c r="M34" i="24" s="1"/>
  <c r="M62" i="23"/>
  <c r="N28" i="24" s="1"/>
  <c r="N27" i="24" s="1"/>
  <c r="K105" i="23"/>
  <c r="L34" i="24" s="1"/>
  <c r="L30" i="24" s="1"/>
  <c r="E26" i="24" s="1"/>
  <c r="H88" i="8"/>
  <c r="I88" i="8" s="1"/>
  <c r="H46" i="8"/>
  <c r="H54" i="8"/>
  <c r="I54" i="8" s="1"/>
  <c r="H140" i="8"/>
  <c r="I140" i="8" s="1"/>
  <c r="H133" i="8"/>
  <c r="I133" i="8" s="1"/>
  <c r="H149" i="8"/>
  <c r="I149" i="8" s="1"/>
  <c r="H69" i="8"/>
  <c r="I69" i="8" s="1"/>
  <c r="H63" i="8"/>
  <c r="I63" i="8" s="1"/>
  <c r="H30" i="8"/>
  <c r="I30" i="8" s="1"/>
  <c r="D46" i="25" l="1"/>
  <c r="K81" i="25" s="1"/>
  <c r="D47" i="25"/>
  <c r="K79" i="25"/>
  <c r="L34" i="25"/>
  <c r="E26" i="25" s="1"/>
  <c r="E29" i="6"/>
  <c r="L54" i="6"/>
  <c r="E30" i="6" s="1"/>
  <c r="L50" i="6"/>
  <c r="F29" i="25"/>
  <c r="G29" i="6"/>
  <c r="N50" i="6"/>
  <c r="N54" i="6"/>
  <c r="G30" i="6" s="1"/>
  <c r="G29" i="25"/>
  <c r="F29" i="6"/>
  <c r="M54" i="6"/>
  <c r="F30" i="6" s="1"/>
  <c r="M50" i="6"/>
  <c r="M30" i="24"/>
  <c r="F26" i="24" s="1"/>
  <c r="N30" i="24"/>
  <c r="G26" i="24" s="1"/>
  <c r="M34" i="25"/>
  <c r="F26" i="25" s="1"/>
  <c r="N34" i="25"/>
  <c r="G26" i="25" s="1"/>
  <c r="N37" i="6"/>
  <c r="G25" i="24"/>
  <c r="G25" i="25"/>
  <c r="M43" i="6"/>
  <c r="M42" i="6" s="1"/>
  <c r="M37" i="6" s="1"/>
  <c r="F25" i="25"/>
  <c r="F25" i="24"/>
  <c r="E25" i="24"/>
  <c r="L43" i="6"/>
  <c r="L42" i="6" s="1"/>
  <c r="L37" i="6" s="1"/>
  <c r="E27" i="6" s="1"/>
  <c r="E25" i="25"/>
  <c r="M66" i="25"/>
  <c r="L66" i="25"/>
  <c r="N66" i="25"/>
  <c r="I46" i="8"/>
  <c r="K203" i="18"/>
  <c r="L47" i="25" s="1"/>
  <c r="L46" i="25" s="1"/>
  <c r="L42" i="25" s="1"/>
  <c r="L59" i="25" s="1"/>
  <c r="M122" i="23"/>
  <c r="N40" i="24" s="1"/>
  <c r="N39" i="24" s="1"/>
  <c r="N36" i="24" s="1"/>
  <c r="G27" i="24" s="1"/>
  <c r="L203" i="18"/>
  <c r="M47" i="25" s="1"/>
  <c r="M46" i="25" s="1"/>
  <c r="M42" i="25" s="1"/>
  <c r="M59" i="25" s="1"/>
  <c r="M203" i="18"/>
  <c r="N47" i="25" s="1"/>
  <c r="N46" i="25" s="1"/>
  <c r="N42" i="25" s="1"/>
  <c r="N59" i="25" s="1"/>
  <c r="K32" i="25"/>
  <c r="K31" i="25" s="1"/>
  <c r="J203" i="18"/>
  <c r="K47" i="25" s="1"/>
  <c r="K46" i="25" s="1"/>
  <c r="K42" i="25" s="1"/>
  <c r="K59" i="25" s="1"/>
  <c r="K122" i="23"/>
  <c r="L40" i="24" s="1"/>
  <c r="L39" i="24" s="1"/>
  <c r="L36" i="24" s="1"/>
  <c r="E27" i="24" s="1"/>
  <c r="K28" i="24"/>
  <c r="K27" i="24" s="1"/>
  <c r="J122" i="23"/>
  <c r="K40" i="24" s="1"/>
  <c r="K39" i="24" s="1"/>
  <c r="K36" i="24" s="1"/>
  <c r="D27" i="24" s="1"/>
  <c r="L122" i="23"/>
  <c r="M40" i="24" s="1"/>
  <c r="M39" i="24" s="1"/>
  <c r="M36" i="24" s="1"/>
  <c r="F27" i="24" s="1"/>
  <c r="K66" i="25"/>
  <c r="F38" i="26"/>
  <c r="K34" i="25"/>
  <c r="D26" i="25" s="1"/>
  <c r="F135" i="18"/>
  <c r="B31" i="8"/>
  <c r="F118" i="8"/>
  <c r="K33" i="6" s="1" a="1"/>
  <c r="K33" i="6" s="1"/>
  <c r="F64" i="8"/>
  <c r="K30" i="6" s="1"/>
  <c r="K28" i="6" s="1"/>
  <c r="C3" i="6"/>
  <c r="K82" i="25" l="1"/>
  <c r="K83" i="25"/>
  <c r="L56" i="25"/>
  <c r="N47" i="6"/>
  <c r="G28" i="6" s="1"/>
  <c r="N56" i="25"/>
  <c r="M56" i="25"/>
  <c r="D42" i="6"/>
  <c r="G27" i="25"/>
  <c r="N43" i="24"/>
  <c r="G28" i="24" s="1"/>
  <c r="F27" i="25"/>
  <c r="M43" i="24"/>
  <c r="F28" i="24" s="1"/>
  <c r="M47" i="6"/>
  <c r="F28" i="6" s="1"/>
  <c r="F27" i="6"/>
  <c r="E27" i="25"/>
  <c r="L43" i="24"/>
  <c r="E28" i="24" s="1"/>
  <c r="L47" i="6"/>
  <c r="E28" i="6" s="1"/>
  <c r="D25" i="24"/>
  <c r="K43" i="24"/>
  <c r="D28" i="24" s="1"/>
  <c r="D27" i="25"/>
  <c r="D25" i="25"/>
  <c r="K56" i="25"/>
  <c r="K63" i="25" s="1"/>
  <c r="G27" i="6"/>
  <c r="K37" i="6"/>
  <c r="D25" i="6"/>
  <c r="K51" i="6"/>
  <c r="N69" i="25"/>
  <c r="L69" i="25"/>
  <c r="M69" i="25"/>
  <c r="F125" i="8"/>
  <c r="K36" i="6" s="1"/>
  <c r="F126" i="8"/>
  <c r="K35" i="6" s="1"/>
  <c r="M63" i="25" l="1"/>
  <c r="F30" i="25" s="1"/>
  <c r="G28" i="25"/>
  <c r="N63" i="25"/>
  <c r="G30" i="25" s="1"/>
  <c r="E28" i="25"/>
  <c r="L63" i="25"/>
  <c r="E30" i="25" s="1"/>
  <c r="D46" i="6"/>
  <c r="K62" i="6" s="1"/>
  <c r="D47" i="6"/>
  <c r="K63" i="6" s="1"/>
  <c r="K50" i="6"/>
  <c r="K54" i="6"/>
  <c r="D30" i="6" s="1"/>
  <c r="F28" i="25"/>
  <c r="K31" i="6"/>
  <c r="K47" i="6" s="1"/>
  <c r="K58" i="6"/>
  <c r="D30" i="25"/>
  <c r="D28" i="25"/>
  <c r="D27" i="6"/>
  <c r="D29" i="6"/>
  <c r="K69" i="25"/>
  <c r="F114" i="8"/>
  <c r="D26" i="6" l="1"/>
  <c r="D28"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Line Møller Ringgaard</author>
  </authors>
  <commentList>
    <comment ref="J32" authorId="0" shapeId="0" xr:uid="{704D0287-577C-4D20-B19C-628A310D03B3}">
      <text>
        <r>
          <rPr>
            <b/>
            <sz val="9"/>
            <color indexed="81"/>
            <rFont val="Tahoma"/>
            <family val="2"/>
          </rPr>
          <t>Line Møller Ringgaard:</t>
        </r>
        <r>
          <rPr>
            <sz val="9"/>
            <color indexed="81"/>
            <rFont val="Tahoma"/>
            <family val="2"/>
          </rPr>
          <t xml:space="preserve">
Spørg efter tal for 2023 med 125% varmevirkningsmetode ved henvendelse til fjernvarmeselsskab, eller find eget fjernvarmeselskab i vedlagte excel-fil fra ENS. Kopier for eget selskab for 2022 i kolonne BF. </t>
        </r>
      </text>
    </comment>
    <comment ref="J37" authorId="0" shapeId="0" xr:uid="{6F438A22-9F6E-40F6-9FAA-118C82DCA5F6}">
      <text>
        <r>
          <rPr>
            <b/>
            <sz val="9"/>
            <color indexed="81"/>
            <rFont val="Tahoma"/>
            <family val="2"/>
          </rPr>
          <t>Line Møller Ringgaard:</t>
        </r>
        <r>
          <rPr>
            <sz val="9"/>
            <color indexed="81"/>
            <rFont val="Tahoma"/>
            <family val="2"/>
          </rPr>
          <t xml:space="preserve">
Hvis muligt angives en emissionsfaktor i scope 1.</t>
        </r>
      </text>
    </comment>
    <comment ref="J118" authorId="0" shapeId="0" xr:uid="{FF618D39-8A56-4A34-B6D8-189A3346DC15}">
      <text>
        <r>
          <rPr>
            <b/>
            <sz val="9"/>
            <color indexed="81"/>
            <rFont val="Tahoma"/>
            <family val="2"/>
          </rPr>
          <t>Line Møller Ringgaard:</t>
        </r>
        <r>
          <rPr>
            <sz val="9"/>
            <color indexed="81"/>
            <rFont val="Tahoma"/>
            <family val="2"/>
          </rPr>
          <t xml:space="preserve">
Hvis muligt, angives en emissionsfaktor for scope 3. Emissionen kommer fra fremstillingen af brændslet.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Line Møller Ringgaard</author>
  </authors>
  <commentList>
    <comment ref="J32" authorId="0" shapeId="0" xr:uid="{06B174BA-F9E4-4AEA-9E6D-63EFB561AD3F}">
      <text>
        <r>
          <rPr>
            <b/>
            <sz val="9"/>
            <color indexed="81"/>
            <rFont val="Tahoma"/>
            <family val="2"/>
          </rPr>
          <t>Line Møller Ringgaard:</t>
        </r>
        <r>
          <rPr>
            <sz val="9"/>
            <color indexed="81"/>
            <rFont val="Tahoma"/>
            <family val="2"/>
          </rPr>
          <t xml:space="preserve">
Spørg efter tal for 2023 med 125% varmevirkningsmetode ved henvendelse til fjernvarmeselsskab, eller find eget fjernvarmeselskab i vedlagte excel-fil fra ENS. Kopier for eget selskab for 2022 i kolonne BF. </t>
        </r>
      </text>
    </comment>
    <comment ref="J37" authorId="0" shapeId="0" xr:uid="{AE3F368F-3E5F-4C89-8F06-ED6D797EB92E}">
      <text>
        <r>
          <rPr>
            <b/>
            <sz val="9"/>
            <color indexed="81"/>
            <rFont val="Tahoma"/>
            <family val="2"/>
          </rPr>
          <t>Line Møller Ringgaard:</t>
        </r>
        <r>
          <rPr>
            <sz val="9"/>
            <color indexed="81"/>
            <rFont val="Tahoma"/>
            <family val="2"/>
          </rPr>
          <t xml:space="preserve">
Hvis muligt angives en emissionsfaktor i scope 1.</t>
        </r>
      </text>
    </comment>
    <comment ref="J97" authorId="0" shapeId="0" xr:uid="{BC551CA8-29BC-45CB-B931-6B41035819C5}">
      <text>
        <r>
          <rPr>
            <b/>
            <sz val="9"/>
            <color indexed="81"/>
            <rFont val="Tahoma"/>
            <family val="2"/>
          </rPr>
          <t>Line Møller Ringgaard:</t>
        </r>
        <r>
          <rPr>
            <sz val="9"/>
            <color indexed="81"/>
            <rFont val="Tahoma"/>
            <family val="2"/>
          </rPr>
          <t xml:space="preserve">
Hvis muligt, angives en emissionsfaktor for scope 3. Emissionen kommer fra fremstillingen af brændslet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Line Møller Ringgaard</author>
  </authors>
  <commentList>
    <comment ref="J32" authorId="0" shapeId="0" xr:uid="{1136A7ED-0E4E-40ED-B99A-E74865159C9E}">
      <text>
        <r>
          <rPr>
            <b/>
            <sz val="9"/>
            <color indexed="81"/>
            <rFont val="Tahoma"/>
            <family val="2"/>
          </rPr>
          <t>Line Møller Ringgaard:</t>
        </r>
        <r>
          <rPr>
            <sz val="9"/>
            <color indexed="81"/>
            <rFont val="Tahoma"/>
            <family val="2"/>
          </rPr>
          <t xml:space="preserve">
Spørg efter tal for 2023 med 125% varmevirkningsmetode ved henvendelse til fjernvarmeselsskab, eller find eget fjernvarmeselskab i vedlagte excel-fil fra ENS. Kopier for eget selskab for 2022 i kolonne BF. </t>
        </r>
      </text>
    </comment>
    <comment ref="J37" authorId="0" shapeId="0" xr:uid="{61B35D78-DD36-4A2B-9955-38C754CFFF41}">
      <text>
        <r>
          <rPr>
            <b/>
            <sz val="9"/>
            <color indexed="81"/>
            <rFont val="Tahoma"/>
            <family val="2"/>
          </rPr>
          <t>Line Møller Ringgaard:</t>
        </r>
        <r>
          <rPr>
            <sz val="9"/>
            <color indexed="81"/>
            <rFont val="Tahoma"/>
            <family val="2"/>
          </rPr>
          <t xml:space="preserve">
Hvis muligt angives en emissionsfaktor i scope 1.</t>
        </r>
      </text>
    </comment>
    <comment ref="J139" authorId="0" shapeId="0" xr:uid="{EC31169B-6620-4EA3-89FE-68435A1C1FDB}">
      <text>
        <r>
          <rPr>
            <b/>
            <sz val="9"/>
            <color indexed="81"/>
            <rFont val="Tahoma"/>
            <family val="2"/>
          </rPr>
          <t>Line Møller Ringgaard:</t>
        </r>
        <r>
          <rPr>
            <sz val="9"/>
            <color indexed="81"/>
            <rFont val="Tahoma"/>
            <family val="2"/>
          </rPr>
          <t xml:space="preserve">
Hvis muligt, angives en emissionsfaktor for scope 3. Emissionen kommer fra fremstillingen af brændslet</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Line Møller Ringgaard</author>
  </authors>
  <commentList>
    <comment ref="J152" authorId="0" shapeId="0" xr:uid="{85DA2BE7-C4F0-4DE1-B248-4FF8A6E1B435}">
      <text>
        <r>
          <rPr>
            <b/>
            <sz val="9"/>
            <color indexed="81"/>
            <rFont val="Tahoma"/>
            <family val="2"/>
          </rPr>
          <t>Line Møller Ringgaard:</t>
        </r>
        <r>
          <rPr>
            <sz val="9"/>
            <color indexed="81"/>
            <rFont val="Tahoma"/>
            <family val="2"/>
          </rPr>
          <t xml:space="preserve">
Hvis muligt, angives en emissionsfaktor for scope 3. Emissionen kommer fra fremstillingen af brændslet.</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EF25CC2-1BA2-4583-BF41-7EAD7CA023F0}" keepAlive="1" name="Query - Table002 (Page 2)" description="Connection to the 'Table002 (Page 2)' query in the workbook." type="5" refreshedVersion="8" background="1" saveData="1">
    <dbPr connection="Provider=Microsoft.Mashup.OleDb.1;Data Source=$Workbook$;Location=&quot;Table002 (Page 2)&quot;;Extended Properties=&quot;&quot;" command="SELECT * FROM [Table002 (Page 2)]"/>
  </connection>
</connection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<sst xmlns="http://schemas.openxmlformats.org/spreadsheetml/2006/main" count="6576" uniqueCount="1529">
  <si>
    <t>Basisoplysninger</t>
  </si>
  <si>
    <t>1. Identifikation af besvarelse</t>
  </si>
  <si>
    <t>Ved at vælge selskab i nedenstående lister vil eksisterende data fra Miljøstyrelsens indberetninger blive indlæst i de efterfølgende tabeller. Hvis selskabet både omfatter drikkevand og spildevand skal der vælges i begge felter:</t>
  </si>
  <si>
    <t>Vælg drikkevandsselskab:</t>
  </si>
  <si>
    <t xml:space="preserve"> </t>
  </si>
  <si>
    <t xml:space="preserve">              Vælg navn på det aktuelle drikkevandselskab i drop down listen til venstre.</t>
  </si>
  <si>
    <t>Vælg spildevandsselskab:</t>
  </si>
  <si>
    <t xml:space="preserve">              Vælg navn på det aktuelle spildevandsselskab i drop down listen til venstre.</t>
  </si>
  <si>
    <t>Kontaktoplysninger:</t>
  </si>
  <si>
    <t>Navn</t>
  </si>
  <si>
    <t>E-mail</t>
  </si>
  <si>
    <t>Telefon</t>
  </si>
  <si>
    <t>Spørgsmål om strategi for klima- og energineutralitet</t>
  </si>
  <si>
    <t>1. Spørgsmål om klimaneutralitet</t>
  </si>
  <si>
    <t xml:space="preserve">Har selskabet en målsætning for, hvornår det skal være klimaneutralt? </t>
  </si>
  <si>
    <t>Ja – vi har en nedskrevet målsætning i vores strategi</t>
  </si>
  <si>
    <t>Ja – vi har en intern målsætning/plan/forventning</t>
  </si>
  <si>
    <t>Nej – men vi er i gang med forarbejdet til en kommende målsætning</t>
  </si>
  <si>
    <t>Nej – det har vi ikke taget stilling til endnu</t>
  </si>
  <si>
    <t>Årstal for målsætning om klimaneutralitet for selskabet</t>
  </si>
  <si>
    <t>Nej – det har vi besluttet, at vi ikke vil arbejde efter</t>
  </si>
  <si>
    <t>Hvis ”Ja”, og hvis der er en målsætning for klimaneutralitet for hele selskabet/holdingselskabet/koncernen – hvilket år?</t>
  </si>
  <si>
    <t>Årstal for målsætning om klimaneutralitet for hele selskabet/holdingselskabet/koncernen</t>
  </si>
  <si>
    <t>2. Spørgsmål om energineutralitet</t>
  </si>
  <si>
    <t>Har selskabet en målsætning for, hvornår det skal være energineutralt?</t>
  </si>
  <si>
    <t>Årstal for målsætning om energineutralitet for selskabet</t>
  </si>
  <si>
    <t>Hvis ”Ja”, og hvis der er en målsætning for energineutralitet for hele selskabet/holdingselskabet/koncernen – hvilket år?</t>
  </si>
  <si>
    <t>Årstal for målsætning om energineutralitet for hele selskabet/holdingselskabet/koncernen</t>
  </si>
  <si>
    <t>Procentdel af mål for energineutralitet, der er opfyldt</t>
  </si>
  <si>
    <r>
      <rPr>
        <b/>
        <sz val="25"/>
        <color theme="1"/>
        <rFont val="Calibri"/>
        <family val="2"/>
        <scheme val="minor"/>
      </rPr>
      <t xml:space="preserve">   </t>
    </r>
    <r>
      <rPr>
        <b/>
        <u/>
        <sz val="25"/>
        <color theme="1"/>
        <rFont val="Calibri"/>
        <family val="2"/>
        <scheme val="minor"/>
      </rPr>
      <t>DRIKKEVAND</t>
    </r>
  </si>
  <si>
    <t xml:space="preserve">Valgt vandselskab: </t>
  </si>
  <si>
    <t>Købt brændsel</t>
  </si>
  <si>
    <t>Faktisk</t>
  </si>
  <si>
    <t xml:space="preserve">Forventet </t>
  </si>
  <si>
    <t>Emissionsfaktor</t>
  </si>
  <si>
    <t>EF enhed</t>
  </si>
  <si>
    <t>Kommentar</t>
  </si>
  <si>
    <t xml:space="preserve">Samlet købt brændsel/varme     </t>
  </si>
  <si>
    <t xml:space="preserve">Sum af fjernvarme, naturgas, råolie- og olieprodukter, andet fossilt, vedvarende energikilde. Fordel på nedenstående underkategorier. Tal for 2023 stammer fra PBM. </t>
  </si>
  <si>
    <t>kWh/år</t>
  </si>
  <si>
    <t>Købt fjernvarme</t>
  </si>
  <si>
    <t>OBS! Tilhører scope 2. Købt fjernvarme. Der medtages selskabets andel af fjernvarme ved fællesfaciliteter. Kontakt eget fjernvarmeselskab for EF i 2023.</t>
  </si>
  <si>
    <t>kg CO2e/kWh</t>
  </si>
  <si>
    <t>Naturgas</t>
  </si>
  <si>
    <t>Købt naturgas</t>
  </si>
  <si>
    <t xml:space="preserve">Købt naturgas. Der medtages selskabets andel af naturgas ved fællesfaciliteter. </t>
  </si>
  <si>
    <t>Råolie- og olieprodukter</t>
  </si>
  <si>
    <t>Købt råolie- og olieprodukter</t>
  </si>
  <si>
    <t>Fyringsolie (gasolie)</t>
  </si>
  <si>
    <t>Købt fyringsolie (gasolie)</t>
  </si>
  <si>
    <t xml:space="preserve">Andel af råolie- og olieprodukter til opvarmning, der er gasolie eller dieselolie. </t>
  </si>
  <si>
    <t>Købte andre olieprodukter</t>
  </si>
  <si>
    <t>Købt andet fossilt inkl. kul</t>
  </si>
  <si>
    <t xml:space="preserve">Købt andet fossilt inkl. kul til opvarmning. Der medtages selskabets andel ved fællesfaciliteter.f.eks. kul og metanol. </t>
  </si>
  <si>
    <t>Angiv EF</t>
  </si>
  <si>
    <t>Hvilken type?</t>
  </si>
  <si>
    <t>Købte vedvarende energikilde</t>
  </si>
  <si>
    <t>Træpiller</t>
  </si>
  <si>
    <t>Købte træpiller</t>
  </si>
  <si>
    <t xml:space="preserve">Andel af vedvarende energikilde til opvarmning, der er købt som træpiller. </t>
  </si>
  <si>
    <t>Træflis</t>
  </si>
  <si>
    <t>Købt træflis</t>
  </si>
  <si>
    <t xml:space="preserve">Andel af vedvarende energikilde til opvarmning, der er købt som træflis. </t>
  </si>
  <si>
    <t>Halm</t>
  </si>
  <si>
    <t>Købt halm</t>
  </si>
  <si>
    <t>Andel af vedvarende energikilde til opvarmning, der er købt som halm</t>
  </si>
  <si>
    <t xml:space="preserve">             National faktor for fjernvarme i 2025, hvis lokalfaktor ikke haves:</t>
  </si>
  <si>
    <t>CH4 fra vandværker</t>
  </si>
  <si>
    <t>Samlet årlig vandmængde ind på egne vandværker</t>
  </si>
  <si>
    <t>Den vandmængde, der behandles af vandselskabet. Sum af vand fra egne boringer + eventuelt importeret råvand - eventuelt eksporteret råvand.</t>
  </si>
  <si>
    <t>m3/år</t>
  </si>
  <si>
    <t>mg/L</t>
  </si>
  <si>
    <t>Fjernelsesgrad af metan</t>
  </si>
  <si>
    <t>%</t>
  </si>
  <si>
    <t>kg CO2e/m3</t>
  </si>
  <si>
    <t xml:space="preserve">            Emissionsfaktor for metan ved gennemsnitlig koncentration på 0,64 mg CH4/L:</t>
  </si>
  <si>
    <t>Driftsbiler (egne og leasede - fossilt brændstof)</t>
  </si>
  <si>
    <t xml:space="preserve">Angiv købt diesel og benzin til driftsbiler i L/år for 2023 samt forventninger til 2025, 2030 og 2035. </t>
  </si>
  <si>
    <t>Diesel</t>
  </si>
  <si>
    <t>Diesel til driftsbiler</t>
  </si>
  <si>
    <t xml:space="preserve">Der skelnes ikke mellem driftskørsel og anlægskørsel. Hvis drikkevand og spildevand anvender samme biler fordeles brændstof efter fordelingsnøgle. </t>
  </si>
  <si>
    <t>L/år</t>
  </si>
  <si>
    <t>kg CO2e/L</t>
  </si>
  <si>
    <t>Benzin</t>
  </si>
  <si>
    <t>Benzin til driftsbiler</t>
  </si>
  <si>
    <t xml:space="preserve">Købt fjernvarme er allerede udfyldt i scope 1 under købt brændsel. </t>
  </si>
  <si>
    <t xml:space="preserve">Obs. Indtastet i scope 1. Posten tilhører scope 2. Tal for 2023 stammer fra PBM. </t>
  </si>
  <si>
    <t>Købt el</t>
  </si>
  <si>
    <t xml:space="preserve">Angiv købt el i kWh/år for 2023 samt forventninger til 2025, 2030 og 2035. </t>
  </si>
  <si>
    <t>Emissionsfaktor for:</t>
  </si>
  <si>
    <t xml:space="preserve">Samlet købt el af drikkevandsselskabet. Der medtages selskabets andel ved fællesfaciliteter. Tal for 2023 stammer fra PBM. </t>
  </si>
  <si>
    <t>Kemikalier og forbrugsstoffer (procesrelaterede)</t>
  </si>
  <si>
    <t>Vælg fra drop down eller angiv selv kemikalie i kolonne O og emissionsfaktor i kolonne J.</t>
  </si>
  <si>
    <t>Kemikalie/forbrugsstof (drop-down)</t>
  </si>
  <si>
    <t>Angiv kemikalier og forbrugsstoffer her, hvis selskabet ikke er bekendt med selskabets producents emissionsfaktor</t>
  </si>
  <si>
    <t>ton/år</t>
  </si>
  <si>
    <t>kg CO2e/ton</t>
  </si>
  <si>
    <t>Andet kemikalie/forbrugsstof</t>
  </si>
  <si>
    <t xml:space="preserve">Angiv kemikalie og forbrugsstoffer her, hvis selskabet kender emissionsfaktoren for selskabets egne producenters kemikalier. </t>
  </si>
  <si>
    <t>Angiv hvilket</t>
  </si>
  <si>
    <t>Posten er allerede udfyldt i scope 1 og 2.</t>
  </si>
  <si>
    <t>Brændsler til opvarmning</t>
  </si>
  <si>
    <t>Emissioner fra fremstilling af brændsler</t>
  </si>
  <si>
    <t>Emissioner fra fremstilling af brændsler.</t>
  </si>
  <si>
    <t>Indtast selv</t>
  </si>
  <si>
    <t>Brændsler til driftsbiler</t>
  </si>
  <si>
    <t>Emission fra fremstillinger af brændsler samt varmetab</t>
  </si>
  <si>
    <t>Skovrejsning</t>
  </si>
  <si>
    <t xml:space="preserve">Angiv skovarealer i Ha finansieret af takstpenge i 2023 samt forventninger til 2025, 2030 og 2035. </t>
  </si>
  <si>
    <t>Skov &lt; 10 år</t>
  </si>
  <si>
    <t xml:space="preserve">Fjernet emission. CO2 fjernet på grund af optagelse i biomasse. Angiv samlet mængde skov der er &lt;10 år i henholdsvis 2023, 2025, 2030 og 2035. </t>
  </si>
  <si>
    <t>Ha</t>
  </si>
  <si>
    <t>kg CO2e/Ha</t>
  </si>
  <si>
    <t>Skov &gt;= 10 år</t>
  </si>
  <si>
    <t xml:space="preserve">Fjernet emission. CO2 fjernet på grund af optagelse i biomasse. Angiv samlet mængde skov, der er =&gt;10 år i henholdsvis 2023, 2025, 2030 og 2035. </t>
  </si>
  <si>
    <t>Andre CO2-fjernende tiltag</t>
  </si>
  <si>
    <t>Anden arealomlægning</t>
  </si>
  <si>
    <t>kg CO2e/år</t>
  </si>
  <si>
    <t>Angiv kg CO2e/enhed</t>
  </si>
  <si>
    <t>Andet tiltag 1</t>
  </si>
  <si>
    <t xml:space="preserve">Angiv her andre CO2 fjernende tiltag. Angiv den samlede årlige mængde fjernet CO2. </t>
  </si>
  <si>
    <t>Angiv tiltag</t>
  </si>
  <si>
    <t>Andet tiltag 2</t>
  </si>
  <si>
    <t>Angiv her andre CO2 fjernende tiltag. Angiv den samlede årlige mængde fjernet CO2.</t>
  </si>
  <si>
    <t>Solgt egenproduceret el/varme/energi</t>
  </si>
  <si>
    <t xml:space="preserve">Angiv solgt el og varme i kWh/år for 2023 samt forventninger til 2025, 2030 og 2035. </t>
  </si>
  <si>
    <t>Solgt el</t>
  </si>
  <si>
    <t xml:space="preserve">Undgået emission. Solgt el som følge af produktion på solceller, vindmøller og lign. Tal for 2023 er fra PBM. EF er sum af scope 2 og 3 emissionsfaktor. </t>
  </si>
  <si>
    <t>Solgt varme</t>
  </si>
  <si>
    <t xml:space="preserve">Undgået emission. Solgt varme som følge af egne store og små varmepumper, solvarmeanlæg og lign. Tal for 2023 er fra PBM. EF er sum af scope 2 og 3 emissionsfaktor. </t>
  </si>
  <si>
    <t>Andre CO2-reducerende tiltag</t>
  </si>
  <si>
    <t>Blødgøring</t>
  </si>
  <si>
    <t xml:space="preserve">Undgået emission. CO2 undgået som følge af blødgøring. Angiv samlet årlig undgået CO2. </t>
  </si>
  <si>
    <t xml:space="preserve">Angiv her andre CO2 reducerende tiltag. Angiv den samlede årlige mængde undgået CO2.  </t>
  </si>
  <si>
    <t>Angiv her andre CO2 reducerende tiltag. Angiv den samlede årlige mængde undgået CO2.</t>
  </si>
  <si>
    <t>Solgt varme (ekstern drevet varmepumpe)</t>
  </si>
  <si>
    <t xml:space="preserve">Angiv varmeproduktion fra store varmepumper, der trækker energi ud af drikkevand, men drives af koncern eller udenfor koncern af en ekstern virksomhed. Angiv i kWh/år for 2023 samt forventninger til 2025, 2030 og 2035.  </t>
  </si>
  <si>
    <t>Varmepumper drevet af koncern</t>
  </si>
  <si>
    <t xml:space="preserve">Undgået emisison.  Angiv den samlede årlige mængde undgået CO2 fra varmepumper i drikkevand, der er drevet af et andet selskab i koncernen. </t>
  </si>
  <si>
    <t>Varmepumper drevet af ekstern virksomhed</t>
  </si>
  <si>
    <t xml:space="preserve">Undgået emisison.  Angiv den samlede årlige mængde undgået CO2 fra varmepumper i drikkevand, der er drevet af et selskab udenfor koncernen. </t>
  </si>
  <si>
    <t>SPILDEVAND</t>
  </si>
  <si>
    <t xml:space="preserve">Samlet købt varme     </t>
  </si>
  <si>
    <t>Fjernvarme                                               (obs. tilhører scope 2)</t>
  </si>
  <si>
    <t>Andet fossilt inkl. kul</t>
  </si>
  <si>
    <t>Angiv  EF</t>
  </si>
  <si>
    <t>Vedvarende energikilde</t>
  </si>
  <si>
    <t xml:space="preserve">Samlet købt el. Der medtages selskabets andel ved fællesfaciliteter. Tal for 2023 stammer fra PBM. </t>
  </si>
  <si>
    <t xml:space="preserve">             National faktor for fjernvarme, hvis lokalfaktor ikke haves:</t>
  </si>
  <si>
    <t>kg CO2/kWh</t>
  </si>
  <si>
    <t>CH4 fra mekanisk og biologisk rensning</t>
  </si>
  <si>
    <t xml:space="preserve">Angiv summen af COD i indløb til samtlige renseanlæg for 2023 samt forventninger til 2025, 2030 og 2035. Angiv i kg/år. </t>
  </si>
  <si>
    <t>COD i indløb til renseanlæg</t>
  </si>
  <si>
    <t>Samlet COD i indlb til alle selskabets renseanlæg. Tal for 2023 er opgjort af DANVA på baggrund af PULS.</t>
  </si>
  <si>
    <t>kg/år</t>
  </si>
  <si>
    <t>kg CO2e/kg COD</t>
  </si>
  <si>
    <t>N2O fra luftningstanke</t>
  </si>
  <si>
    <t xml:space="preserve">Angiv summen af årlig kvælstofbelastning (total kvælstof) i indløb til renseanlæg i kg/år for 2023 samt forventninger til 2025, 2030 og 2035. </t>
  </si>
  <si>
    <t>Standard lattergas emissionsfaktor fra luftningstanke</t>
  </si>
  <si>
    <t>% (kg N2O-N/kg TN_tilløb)</t>
  </si>
  <si>
    <t>kg CO2e/kg TN ind</t>
  </si>
  <si>
    <t>Årlig kvælstofbelastning i indløb til renseanlæg</t>
  </si>
  <si>
    <t>kg N-tot/år</t>
  </si>
  <si>
    <t>CH4 fra biogasanlæg</t>
  </si>
  <si>
    <t xml:space="preserve">Angiv summen af årlig biogasproduktion i Nm3/år for 2023 samt forventninger til 2025, 2030 og 2035. </t>
  </si>
  <si>
    <t xml:space="preserve">Standard metanemissionsfaktor fra metanproduktion. </t>
  </si>
  <si>
    <t>% (kg CH4/kg CH4 produceret)</t>
  </si>
  <si>
    <t>kg CO2e/Nm3 CH4</t>
  </si>
  <si>
    <t>Produceret biogas</t>
  </si>
  <si>
    <t>Angiv den producerede mængde biogas. Nedenfor angives metan produktionen. Det antages at metan udgør 65% af biogas produktionen</t>
  </si>
  <si>
    <t>Nm3/år</t>
  </si>
  <si>
    <t>Produceret metangas</t>
  </si>
  <si>
    <t>N2O i recipient</t>
  </si>
  <si>
    <t xml:space="preserve">Angiv sum af kvælstofbelastningen (total kvælstof) fra udløb fra renseanlæg, overløb fra fælleskloak og drikkevand for 2023 samt forventninger til 2025, 2030 og 2035. </t>
  </si>
  <si>
    <t>Årlig kvælstofbelasning i udløb fra renseanlæg</t>
  </si>
  <si>
    <t>Sum af årlig kvælstofbelasning fra selskabets renseanlæg. EF er angivet i kg CO2e/kg N-tot, og svarer til 0,5% N2O-N/kg N_udløb. Tal fra 2023 er baseret på beregning fra PBM på baggrund af PULS.</t>
  </si>
  <si>
    <t>kg CO2e/kg TN</t>
  </si>
  <si>
    <t>Årlig kvælstofbelastning i overløb fra fælleskloak</t>
  </si>
  <si>
    <t>Sum af årlig kvælstofbelasning i udløb fra regnbetingede overløb fra overløbsbygværker ved fælleskloakering. EF er angivet i kg CO2e/kg N-tot, og svarer til 0,5% N2O-N/kg N_overløb.  Tal fra 2023 er baseret på beregning fra PBM på baggrund af PULS</t>
  </si>
  <si>
    <t>Årlig kvælstofbelastning fra regnvand</t>
  </si>
  <si>
    <t xml:space="preserve">Sum af årlig kvælstofbelasning i regnvand. EF er angivet i kg CO2e/kg N-tot, og svarer til 0,5% N2O-N/kg N_regnvand. Tal fra 2023 er baseret på beregning fra PBM på baggrund af PULS. </t>
  </si>
  <si>
    <t>Angiv for hver af selskabets slamtyper ton TS overskudsslam per år for 2023 samt forventninger til 2025, 2030 og 2035.</t>
  </si>
  <si>
    <t>Scope 1</t>
  </si>
  <si>
    <t>Scope 3</t>
  </si>
  <si>
    <t>ton TS/år</t>
  </si>
  <si>
    <t>kg CO2e/ton TS</t>
  </si>
  <si>
    <t>Slamdisponering: kulstoflagring</t>
  </si>
  <si>
    <t xml:space="preserve">Posten er allerede udfyldt i scope 3. </t>
  </si>
  <si>
    <t xml:space="preserve">El </t>
  </si>
  <si>
    <t>Undgået emission. Solgt el som følge af gasmotor, produktion på solceller, vindmøller og lign. Tal for 2023 er fra PBM. EF er sum af scope 2 og 3</t>
  </si>
  <si>
    <t xml:space="preserve">Samlet solgt varme/energi </t>
  </si>
  <si>
    <t>Undgået emission. Solgt varme som følge af gasmotorer, egne små og store varmepumper, solvarmeanlæg og lign. Fordel på nedenstående kategorier. Tal for 2023 er fra PBM.</t>
  </si>
  <si>
    <t>Fjernvarme</t>
  </si>
  <si>
    <t>Andel af samlet solgt varme/energi, der er solgt som fjernvarme til fjernvarmenettet eller direkte til anden virksomhed. EF er sum af scope 2 og 3</t>
  </si>
  <si>
    <t>Biogas</t>
  </si>
  <si>
    <t>Andel af samlet solgt varme/energi, der er solgt som biogas . Biogas omregnes til kWh. Se Miljøstyrelsens vejledning til PBM. EF er sum af scope 1 og 3</t>
  </si>
  <si>
    <t>Kemisk bundet energi</t>
  </si>
  <si>
    <t xml:space="preserve">Andel af samlet solgt varme/energi, der er solgt som kemisk bundet energi (tørret slam). Omregnes til kWh. Se Miljøstyrelsens vejledning til PBM. </t>
  </si>
  <si>
    <t>Slam til ekstern udnyttelse</t>
  </si>
  <si>
    <t xml:space="preserve">Andel af samlet solgt varme/energi, der er solgt som slam til ekstern udnyttelse på biogasanlæg. Slam omregnes til kWh. Se Miljøstyrelsens vejledning til PBM. </t>
  </si>
  <si>
    <t>Slamdisponering: gødningssubstitution</t>
  </si>
  <si>
    <t>kg CO2e/enhed</t>
  </si>
  <si>
    <t>Andet tiltag 3</t>
  </si>
  <si>
    <t>Scope 1 total</t>
  </si>
  <si>
    <t>Scope 2 total</t>
  </si>
  <si>
    <t>Købte brændsler</t>
  </si>
  <si>
    <t>Scope 3 total</t>
  </si>
  <si>
    <t>CH4 fra vandværk</t>
  </si>
  <si>
    <t>Udenfor scope total (uden ekstern varmepumpe)</t>
  </si>
  <si>
    <t>Driftsbiler</t>
  </si>
  <si>
    <t>Total (uden ekstern varmepumpe)</t>
  </si>
  <si>
    <t xml:space="preserve">Scope 2 total </t>
  </si>
  <si>
    <t>Scope 2</t>
  </si>
  <si>
    <t xml:space="preserve">Scope 3 total </t>
  </si>
  <si>
    <t>Kemikalier og forbrugsstoffer</t>
  </si>
  <si>
    <t>Udenfor scope total (med ekstern varmepumpe)</t>
  </si>
  <si>
    <t>Total (med ekstern varmepumpe)</t>
  </si>
  <si>
    <t>Udenfor scope</t>
  </si>
  <si>
    <t>Fjernede</t>
  </si>
  <si>
    <t>Undgåede</t>
  </si>
  <si>
    <t>Solgt egenproduceret el</t>
  </si>
  <si>
    <t>Ekstern drevet varmepumpe, kg CO2e</t>
  </si>
  <si>
    <t>Undgåede emissioner: eksterne varmepumper</t>
  </si>
  <si>
    <t>AFLØB/TRANSPORT</t>
  </si>
  <si>
    <t xml:space="preserve">Udenfor scope total </t>
  </si>
  <si>
    <t>Total</t>
  </si>
  <si>
    <t>Udenfor scope total</t>
  </si>
  <si>
    <t>Fjernede emissioner</t>
  </si>
  <si>
    <t>Undgåede emissioner</t>
  </si>
  <si>
    <t>RENSEANLÆG</t>
  </si>
  <si>
    <t>Kulstoflagring</t>
  </si>
  <si>
    <t>Gødningssubstitution</t>
  </si>
  <si>
    <t>Solgt biogas</t>
  </si>
  <si>
    <t xml:space="preserve">Solgt kemisk bundet energi </t>
  </si>
  <si>
    <t>Konverteringsfaktorer - GWP</t>
  </si>
  <si>
    <t>Faktor</t>
  </si>
  <si>
    <t>Enhed</t>
  </si>
  <si>
    <t>CO2</t>
  </si>
  <si>
    <t>CO2e</t>
  </si>
  <si>
    <t>CH4</t>
  </si>
  <si>
    <t>Densitet metan ved standard betingelser</t>
  </si>
  <si>
    <t>kg/m3</t>
  </si>
  <si>
    <t>N2O</t>
  </si>
  <si>
    <t>Andel metan  i biogas</t>
  </si>
  <si>
    <t>Brændsler</t>
  </si>
  <si>
    <t>Nedre brændværdi</t>
  </si>
  <si>
    <t>kWh/m3</t>
  </si>
  <si>
    <t>Fuelolie</t>
  </si>
  <si>
    <t>kWh/ton</t>
  </si>
  <si>
    <t>LPG</t>
  </si>
  <si>
    <t>*Naturgas er ledningsgas</t>
  </si>
  <si>
    <t>Brændsler (EF fra Klimakompas)</t>
  </si>
  <si>
    <t>2023 [kg CO2e/enhed]</t>
  </si>
  <si>
    <t>2025 [kg CO2e/enhed]</t>
  </si>
  <si>
    <t>2030 [kg CO2e/enhed]</t>
  </si>
  <si>
    <t>2030  [kg CO2e/enhed]</t>
  </si>
  <si>
    <t>2035  [kg CO2e/enhed]</t>
  </si>
  <si>
    <t>2035 [kg CO2e/enhed]</t>
  </si>
  <si>
    <t>L</t>
  </si>
  <si>
    <t>Nm3</t>
  </si>
  <si>
    <t>ton</t>
  </si>
  <si>
    <t>Brændsler (EF omregnet til per kWh)</t>
  </si>
  <si>
    <t>EF 2023                [kg CO2e/kWh]</t>
  </si>
  <si>
    <t>EF 2025                [kg CO2e/kWh]</t>
  </si>
  <si>
    <t>EF 2030                [kg CO2e/kWh]</t>
  </si>
  <si>
    <t>EF 2035                [kg CO2e/kWh]</t>
  </si>
  <si>
    <t>kWh</t>
  </si>
  <si>
    <t>Elektricitet og fjernvarme</t>
  </si>
  <si>
    <t>Varmevirkningsgrad</t>
  </si>
  <si>
    <t>2023 Scope 2 [kg CO2e/kWh]</t>
  </si>
  <si>
    <t>2023 Scope 3 [kg CO23/kWh]</t>
  </si>
  <si>
    <t>2025 Scope 2 [kg CO23/kWh]</t>
  </si>
  <si>
    <t>2025 Scope 3 [kg CO23/kWh]</t>
  </si>
  <si>
    <t>2030 Scope 2 [kg CO23/kWh]</t>
  </si>
  <si>
    <t>2030 Scope 3 [kg CO23/kWh]</t>
  </si>
  <si>
    <t>2035 Scope 3 [kg CO23/kWh]</t>
  </si>
  <si>
    <t>El øst</t>
  </si>
  <si>
    <t>El vest</t>
  </si>
  <si>
    <t>Metan</t>
  </si>
  <si>
    <r>
      <t xml:space="preserve">     CH</t>
    </r>
    <r>
      <rPr>
        <vertAlign val="subscript"/>
        <sz val="11"/>
        <color theme="1"/>
        <rFont val="Calibri"/>
        <family val="2"/>
      </rPr>
      <t>4</t>
    </r>
    <r>
      <rPr>
        <sz val="11"/>
        <color theme="1"/>
        <rFont val="Calibri"/>
        <family val="2"/>
      </rPr>
      <t xml:space="preserve"> fra vandværker</t>
    </r>
  </si>
  <si>
    <r>
      <t>m</t>
    </r>
    <r>
      <rPr>
        <vertAlign val="superscript"/>
        <sz val="11"/>
        <color theme="1"/>
        <rFont val="Calibri"/>
        <family val="2"/>
      </rPr>
      <t>3</t>
    </r>
  </si>
  <si>
    <r>
      <t xml:space="preserve">     CH</t>
    </r>
    <r>
      <rPr>
        <vertAlign val="subscript"/>
        <sz val="11"/>
        <color theme="1"/>
        <rFont val="Calibri"/>
        <family val="2"/>
      </rPr>
      <t>4</t>
    </r>
    <r>
      <rPr>
        <sz val="11"/>
        <color theme="1"/>
        <rFont val="Calibri"/>
        <family val="2"/>
      </rPr>
      <t xml:space="preserve"> i mekanisk og biologisk rensning    </t>
    </r>
  </si>
  <si>
    <t>kg COD</t>
  </si>
  <si>
    <r>
      <t xml:space="preserve">     CH</t>
    </r>
    <r>
      <rPr>
        <vertAlign val="subscript"/>
        <sz val="11"/>
        <color theme="1"/>
        <rFont val="Calibri"/>
        <family val="2"/>
      </rPr>
      <t>4</t>
    </r>
    <r>
      <rPr>
        <sz val="11"/>
        <color theme="1"/>
        <rFont val="Calibri"/>
        <family val="2"/>
      </rPr>
      <t xml:space="preserve"> fra biogasanlæg</t>
    </r>
  </si>
  <si>
    <r>
      <t>kg CH</t>
    </r>
    <r>
      <rPr>
        <vertAlign val="subscript"/>
        <sz val="11"/>
        <color theme="1"/>
        <rFont val="Calibri"/>
        <family val="2"/>
      </rPr>
      <t>4</t>
    </r>
    <r>
      <rPr>
        <sz val="11"/>
        <color theme="1"/>
        <rFont val="Calibri"/>
        <family val="2"/>
      </rPr>
      <t xml:space="preserve"> produceret</t>
    </r>
  </si>
  <si>
    <t>Lattergas</t>
  </si>
  <si>
    <r>
      <t xml:space="preserve">     N</t>
    </r>
    <r>
      <rPr>
        <vertAlign val="subscript"/>
        <sz val="11"/>
        <color theme="1"/>
        <rFont val="Calibri"/>
        <family val="2"/>
      </rPr>
      <t>2</t>
    </r>
    <r>
      <rPr>
        <sz val="11"/>
        <color theme="1"/>
        <rFont val="Calibri"/>
        <family val="2"/>
      </rPr>
      <t>O fra luftningstanke</t>
    </r>
  </si>
  <si>
    <r>
      <t>kg T-N</t>
    </r>
    <r>
      <rPr>
        <vertAlign val="subscript"/>
        <sz val="11"/>
        <color theme="1"/>
        <rFont val="Calibri"/>
        <family val="2"/>
        <scheme val="minor"/>
      </rPr>
      <t>tilløb</t>
    </r>
  </si>
  <si>
    <r>
      <t xml:space="preserve">     N</t>
    </r>
    <r>
      <rPr>
        <vertAlign val="subscript"/>
        <sz val="11"/>
        <color theme="1"/>
        <rFont val="Calibri"/>
        <family val="2"/>
      </rPr>
      <t>2</t>
    </r>
    <r>
      <rPr>
        <sz val="11"/>
        <color theme="1"/>
        <rFont val="Calibri"/>
        <family val="2"/>
      </rPr>
      <t>O i recipient</t>
    </r>
  </si>
  <si>
    <r>
      <t>kg T-N</t>
    </r>
    <r>
      <rPr>
        <vertAlign val="subscript"/>
        <sz val="11"/>
        <color theme="1"/>
        <rFont val="Calibri"/>
        <family val="2"/>
        <scheme val="minor"/>
      </rPr>
      <t>udløb</t>
    </r>
    <r>
      <rPr>
        <sz val="11"/>
        <color theme="1"/>
        <rFont val="Calibri"/>
        <family val="2"/>
        <scheme val="minor"/>
      </rPr>
      <t>, kg T-N</t>
    </r>
    <r>
      <rPr>
        <vertAlign val="subscript"/>
        <sz val="11"/>
        <color theme="1"/>
        <rFont val="Calibri"/>
        <family val="2"/>
        <scheme val="minor"/>
      </rPr>
      <t>regn</t>
    </r>
    <r>
      <rPr>
        <sz val="11"/>
        <color theme="1"/>
        <rFont val="Calibri"/>
        <family val="2"/>
        <scheme val="minor"/>
      </rPr>
      <t>, kg T-N</t>
    </r>
    <r>
      <rPr>
        <vertAlign val="subscript"/>
        <sz val="11"/>
        <color theme="1"/>
        <rFont val="Calibri"/>
        <family val="2"/>
        <scheme val="minor"/>
      </rPr>
      <t>overløv</t>
    </r>
  </si>
  <si>
    <t>Ha/år</t>
  </si>
  <si>
    <t>Quickfloc (FeSO4)</t>
  </si>
  <si>
    <t>303</t>
  </si>
  <si>
    <t>ALS</t>
  </si>
  <si>
    <t>576</t>
  </si>
  <si>
    <t>PIX-111, Plusjärn S 314</t>
  </si>
  <si>
    <t>395</t>
  </si>
  <si>
    <t>PIX-110</t>
  </si>
  <si>
    <t>145</t>
  </si>
  <si>
    <t>PAX-18, Ekoflock 90</t>
  </si>
  <si>
    <t>536</t>
  </si>
  <si>
    <t>PAX-15, XL61</t>
  </si>
  <si>
    <t>379</t>
  </si>
  <si>
    <t>PAX-XL100</t>
  </si>
  <si>
    <t>555</t>
  </si>
  <si>
    <t>PAX-215</t>
  </si>
  <si>
    <t>110</t>
  </si>
  <si>
    <t>Polymerer fra SNF</t>
  </si>
  <si>
    <t>2260</t>
  </si>
  <si>
    <t>Nerolan CG144, CG147X</t>
  </si>
  <si>
    <t>805,2</t>
  </si>
  <si>
    <t>Polyakrylamid</t>
  </si>
  <si>
    <t>2790</t>
  </si>
  <si>
    <t>Zetag 8180/7550/8147</t>
  </si>
  <si>
    <t>2560</t>
  </si>
  <si>
    <t>Metanol</t>
  </si>
  <si>
    <t>600</t>
  </si>
  <si>
    <t>669</t>
  </si>
  <si>
    <t>Biometanol BioMCN</t>
  </si>
  <si>
    <t>760</t>
  </si>
  <si>
    <t>Etanol</t>
  </si>
  <si>
    <t>1250</t>
  </si>
  <si>
    <t>Eddikesyre</t>
  </si>
  <si>
    <t>1370</t>
  </si>
  <si>
    <t>Brændt kalk (CaO)</t>
  </si>
  <si>
    <t>1130</t>
  </si>
  <si>
    <t>Læsket kalk (Ca(OH)2)</t>
  </si>
  <si>
    <t>871</t>
  </si>
  <si>
    <t>CaCO3</t>
  </si>
  <si>
    <t>900</t>
  </si>
  <si>
    <t>NaOH 50 %</t>
  </si>
  <si>
    <t>403</t>
  </si>
  <si>
    <t>Aktivt kul - biogen oprindelse</t>
  </si>
  <si>
    <t>Aktivt kul - fossil oprindelse</t>
  </si>
  <si>
    <t>Salpetersyre (HNO3)</t>
  </si>
  <si>
    <t>Fosforsyre 75 %</t>
  </si>
  <si>
    <t>Brintoverilte H2O2</t>
  </si>
  <si>
    <t>Natriumhypoklorit (NaClO)</t>
  </si>
  <si>
    <t>Citronsyre</t>
  </si>
  <si>
    <t>Saltsyre (HCl)</t>
  </si>
  <si>
    <t>Behandling</t>
  </si>
  <si>
    <t>Disponering</t>
  </si>
  <si>
    <t>Scope 1 (intern) [kg CO2e/ton TS]</t>
  </si>
  <si>
    <t>Scope 3 (ekstern) [kg CO2e/ton TS]</t>
  </si>
  <si>
    <t>Kulstof lagring [kg CO2e/ton TS]</t>
  </si>
  <si>
    <t>Substitution  [kg CO2e/ton TS]</t>
  </si>
  <si>
    <t>Slamtype 1.1a</t>
  </si>
  <si>
    <t>Afvandet og lagret internt</t>
  </si>
  <si>
    <t>Slamtype 1.1b</t>
  </si>
  <si>
    <t>Afvandet og lagret eksternt</t>
  </si>
  <si>
    <t>Slamtype 1.2</t>
  </si>
  <si>
    <t>Afvandet og komposteret internt</t>
  </si>
  <si>
    <t>Slamtype 1.3</t>
  </si>
  <si>
    <t>Afvandet og komposteret eksternt</t>
  </si>
  <si>
    <t>Slamtype 2.1a</t>
  </si>
  <si>
    <t>Udrådnet og lagret internt</t>
  </si>
  <si>
    <t>Slamtype 2.1b</t>
  </si>
  <si>
    <t>Udrådnet og lagret eksternt</t>
  </si>
  <si>
    <t>Slamtype 2.2</t>
  </si>
  <si>
    <t>Udrådnet og komposteret internt</t>
  </si>
  <si>
    <t>Slamtype 2.3</t>
  </si>
  <si>
    <t>Udrådnet og komposteret eksternt</t>
  </si>
  <si>
    <t>Slamtype 3a</t>
  </si>
  <si>
    <t>Mineralisering internt</t>
  </si>
  <si>
    <t>Slamtype 3b</t>
  </si>
  <si>
    <t>Mineralisering eksternt</t>
  </si>
  <si>
    <t>Slamtype 4.1a</t>
  </si>
  <si>
    <t>Monoforbrænding internt</t>
  </si>
  <si>
    <t>Slamtype 4.1b</t>
  </si>
  <si>
    <t>Slamtype 4.1c</t>
  </si>
  <si>
    <t>Slamtype 4.2a</t>
  </si>
  <si>
    <t>Monoforbrænding eksternt</t>
  </si>
  <si>
    <t>Slamtype 4.2b</t>
  </si>
  <si>
    <t>Monoforbrædning eksternt</t>
  </si>
  <si>
    <t>Slamtype 4.2c</t>
  </si>
  <si>
    <t>Slamtype 5.1a</t>
  </si>
  <si>
    <t>Pyrolyse internt</t>
  </si>
  <si>
    <t>Slamtype 5.1b</t>
  </si>
  <si>
    <t>Slamtype 5.1c</t>
  </si>
  <si>
    <t>Slamtype 5.2a</t>
  </si>
  <si>
    <t>Pyrolyse eksternt</t>
  </si>
  <si>
    <t>Slamtype 5.2b</t>
  </si>
  <si>
    <t>Slamtype 5.2c</t>
  </si>
  <si>
    <t>Slamtype 6</t>
  </si>
  <si>
    <t>Afvandet og forbrændt</t>
  </si>
  <si>
    <t>Slamtype 7</t>
  </si>
  <si>
    <t>Udrådnet og forbrændt</t>
  </si>
  <si>
    <t>Indberetningsår</t>
  </si>
  <si>
    <t>Samlet købt el</t>
  </si>
  <si>
    <t>Samlet købt varme</t>
  </si>
  <si>
    <t>Solgt El</t>
  </si>
  <si>
    <t>Solgt Varme</t>
  </si>
  <si>
    <t>Debiteret vandmængde ialt (FS spg.)</t>
  </si>
  <si>
    <t>Købt rå-olie og olieprodukter</t>
  </si>
  <si>
    <t>Købt vedvarende energikilde</t>
  </si>
  <si>
    <t>Samlet råvands mængde til egne værker</t>
  </si>
  <si>
    <t>Varme fra store varmepumper med henblik på salg - ejet indenfor egen koncern</t>
  </si>
  <si>
    <t>Varme fra store varmepumper med henblik på salg - ejet af ekstern virksomhed</t>
  </si>
  <si>
    <t>Selskabets placering i forhold til øst eller vest Danmark</t>
  </si>
  <si>
    <t>m³</t>
  </si>
  <si>
    <t>PBM</t>
  </si>
  <si>
    <t>Forsyningssekretariatet</t>
  </si>
  <si>
    <t>DANVA</t>
  </si>
  <si>
    <t>MK8000</t>
  </si>
  <si>
    <t>MK8201</t>
  </si>
  <si>
    <t>MK8022</t>
  </si>
  <si>
    <t>MK8222</t>
  </si>
  <si>
    <t>OD7100</t>
  </si>
  <si>
    <t>MK8205</t>
  </si>
  <si>
    <t>MK8210</t>
  </si>
  <si>
    <t>MK8215</t>
  </si>
  <si>
    <t>MK8225</t>
  </si>
  <si>
    <t>MK8230</t>
  </si>
  <si>
    <t>DR1500</t>
  </si>
  <si>
    <t>MK9065</t>
  </si>
  <si>
    <t>MK9070</t>
  </si>
  <si>
    <t>AA5002</t>
  </si>
  <si>
    <t>Frederiksberg Vand A/S</t>
  </si>
  <si>
    <t>Andre</t>
  </si>
  <si>
    <t>HOFOR Vand København A/S</t>
  </si>
  <si>
    <t/>
  </si>
  <si>
    <t>Glostrup Vand A/S</t>
  </si>
  <si>
    <t>HOFOR Vand Brøndby A/S</t>
  </si>
  <si>
    <t>HOFOR Vand Vallensbæk A/S</t>
  </si>
  <si>
    <t>HOFOR Vand Rødovre A/S</t>
  </si>
  <si>
    <t>HOFOR Vand Albertslund A/S</t>
  </si>
  <si>
    <t>HTK Vand A/S</t>
  </si>
  <si>
    <t>Ishøj Vand A/S</t>
  </si>
  <si>
    <t>HOFOR Vand Hvidovre A/S</t>
  </si>
  <si>
    <t>Greve Vandværk Amba</t>
  </si>
  <si>
    <t>Solrød Vandværk a.m.b.a.</t>
  </si>
  <si>
    <t>HOFOR Vand Herlev A/S</t>
  </si>
  <si>
    <t>Novafos Vand Ballerup A/S</t>
  </si>
  <si>
    <t>TÅRNBYFORSYNING Vand A/S</t>
  </si>
  <si>
    <t>HOFOR Vand Dragør A/S</t>
  </si>
  <si>
    <t>Lyngby-Taarbæk Vand A/S</t>
  </si>
  <si>
    <t>Novafos Vand Gentofte A/S</t>
  </si>
  <si>
    <t>Novafos Vand Gladsaxe A/S</t>
  </si>
  <si>
    <t>Novafos Vand Sjælsø A/S</t>
  </si>
  <si>
    <t>Novafos Vand Rudersdal A/S</t>
  </si>
  <si>
    <t>Novafos Vand Hørsholm A/S</t>
  </si>
  <si>
    <t>Forsyning Helsingør Vand A/S</t>
  </si>
  <si>
    <t>Hornbæk Vandværk a.m.b.a.</t>
  </si>
  <si>
    <t>Baunehøj Vandværk Amba</t>
  </si>
  <si>
    <t>Helsinge Vandværk</t>
  </si>
  <si>
    <t>Vejby Vandforsyning a.m.b.a.</t>
  </si>
  <si>
    <t>Udsholt Vandværk A.m.b.a.</t>
  </si>
  <si>
    <t>Gilleleje Vandværk a.m.b.a.</t>
  </si>
  <si>
    <t>Halsnæs Vand A/S</t>
  </si>
  <si>
    <t>Halsnæs Vandforsyning a.m.b.a.</t>
  </si>
  <si>
    <t>Hillerød Vand A/S</t>
  </si>
  <si>
    <t>Nyhuse Vandværk</t>
  </si>
  <si>
    <t>Lillerød Andelsvandværk a.m.b.a.</t>
  </si>
  <si>
    <t>Birkerød Vandforsyning a.m.b.a.</t>
  </si>
  <si>
    <t>Fredensborg Vand A/S</t>
  </si>
  <si>
    <t>Nødebo Vandværk A.M.B.A.</t>
  </si>
  <si>
    <t>Furesø Vandforsyning a.m.b.a.</t>
  </si>
  <si>
    <t>Slangerup Vandværk AmbA</t>
  </si>
  <si>
    <t>Novafos Vand Frederikssund A/S</t>
  </si>
  <si>
    <t>Novafos Vand Egedal A/S</t>
  </si>
  <si>
    <t>Andelsselskabet Stenløse Vandværk</t>
  </si>
  <si>
    <t>Stenlien Vandværk Amba</t>
  </si>
  <si>
    <t>Rønne Vand A/S</t>
  </si>
  <si>
    <t>Klemensker Vandværk</t>
  </si>
  <si>
    <t>Bornholms Vand A/S</t>
  </si>
  <si>
    <t>Fors Vand Roskilde A/S</t>
  </si>
  <si>
    <t>Tune Vandværk A.m.b.a.</t>
  </si>
  <si>
    <t>Jyllinge Vandværk Amba</t>
  </si>
  <si>
    <t>Ringsted Vand A/S</t>
  </si>
  <si>
    <t>Borup Vandværk</t>
  </si>
  <si>
    <t>Benløse Rundings Vandværk An/S</t>
  </si>
  <si>
    <t>Frederiksberg Vandværk</t>
  </si>
  <si>
    <t>SK Vand A/S</t>
  </si>
  <si>
    <t>Høng Vandværk a.m.b.a.</t>
  </si>
  <si>
    <t>Andelsselskabet Gørlev Vandforsyning</t>
  </si>
  <si>
    <t>Sorø Vand A/S</t>
  </si>
  <si>
    <t>Dianalund Vandværk</t>
  </si>
  <si>
    <t>Fors Vand Holbæk A/S</t>
  </si>
  <si>
    <t>Fors Vand Lejre A/S</t>
  </si>
  <si>
    <t>Kvarmløse-Tølløse Vandværk</t>
  </si>
  <si>
    <t>Kalundborg Vandforsyning A/S</t>
  </si>
  <si>
    <t>Vandfællesskabet Nordvestsjælland a.m.b.a.</t>
  </si>
  <si>
    <t>Mørkøv Vandværk</t>
  </si>
  <si>
    <t>Svinninge Vandværk</t>
  </si>
  <si>
    <t>Asnæs Vandværk Amba</t>
  </si>
  <si>
    <t>Odsherred Vand A/S</t>
  </si>
  <si>
    <t>Rørvig Vandværk I/S</t>
  </si>
  <si>
    <t>KLAR Forsyning Køge Vand A/S</t>
  </si>
  <si>
    <t>Vandværket Lyngen</t>
  </si>
  <si>
    <t>Andelsselskabet Ejby Vandværk</t>
  </si>
  <si>
    <t>Andelsselskabet Ll. Skensved Vandværk</t>
  </si>
  <si>
    <t>Faxe Vandværk Smba</t>
  </si>
  <si>
    <t>Andelsselskabet Haarlev Vandværk</t>
  </si>
  <si>
    <t>Store Heddinge Vandværk A.m.b.a.</t>
  </si>
  <si>
    <t>Faxe Vandforsyning A/S</t>
  </si>
  <si>
    <t>NK-Vand A/S</t>
  </si>
  <si>
    <t>Lille Næstved Vandværk</t>
  </si>
  <si>
    <t>Vordingborg Vand A/S</t>
  </si>
  <si>
    <t>I/S Ørslev Vandværk</t>
  </si>
  <si>
    <t>Guldborgsund Vand A/S</t>
  </si>
  <si>
    <t>Vandforsyningen Østlolland a.m.b.a.</t>
  </si>
  <si>
    <t>Nørre Alslev Vandværk</t>
  </si>
  <si>
    <t>Andelsselskabet Marielyst Vandværk</t>
  </si>
  <si>
    <t>Lolland Vand A/S</t>
  </si>
  <si>
    <t>Vandcenter Syd A/S.</t>
  </si>
  <si>
    <t>Tarup Vandværk</t>
  </si>
  <si>
    <t>Næsby Vandværk</t>
  </si>
  <si>
    <t>Kerteminde Forsyning - Vand A/S</t>
  </si>
  <si>
    <t>Bogense Forsyningsselskab A.m.b.a.</t>
  </si>
  <si>
    <t>Otterup Vandværk</t>
  </si>
  <si>
    <t>Søndersø Vandværk</t>
  </si>
  <si>
    <t>Langeskov Vandværk</t>
  </si>
  <si>
    <t>FFV Vand A/S</t>
  </si>
  <si>
    <t>Assens Vandværk A/S</t>
  </si>
  <si>
    <t>Glamsbjerg Vandværk</t>
  </si>
  <si>
    <t>Haarby Vandværk</t>
  </si>
  <si>
    <t>Svendborg Vand A/S</t>
  </si>
  <si>
    <t>Vindeby Vandforsyning A.M.B.A.</t>
  </si>
  <si>
    <t>Midtfyns Vandforsyning A.m.b.a.</t>
  </si>
  <si>
    <t>Vester Skerninge Vandværk</t>
  </si>
  <si>
    <t>NFS A/S</t>
  </si>
  <si>
    <t>Langeland Vand ApS</t>
  </si>
  <si>
    <t>Andelsselskabet Ørbæk Vandværk</t>
  </si>
  <si>
    <t>Ærø Vand A/S</t>
  </si>
  <si>
    <t>TREFOR Vand A/S</t>
  </si>
  <si>
    <t>BlueKolding Vand A/S</t>
  </si>
  <si>
    <t>Bramdrupdam Vandværk I/S</t>
  </si>
  <si>
    <t>Andelsselskabet Strandhuse Nr. Bjert Vandværk</t>
  </si>
  <si>
    <t>Provas-Haderslev Vand A/S</t>
  </si>
  <si>
    <t>Arwos Vand A/S</t>
  </si>
  <si>
    <t>Rødekro Vandværk</t>
  </si>
  <si>
    <t>Tønder Vand A/S</t>
  </si>
  <si>
    <t>Bredebro Andelsvandværk</t>
  </si>
  <si>
    <t>Broager Vandværk A.m.b.a.</t>
  </si>
  <si>
    <t>Padborg Vandværk Amba</t>
  </si>
  <si>
    <t>Tinglev Vandværk</t>
  </si>
  <si>
    <t>Bolderslev Vandværk</t>
  </si>
  <si>
    <t>SONFOR Vand A/S</t>
  </si>
  <si>
    <t>Sydals Øst Vandforsyning</t>
  </si>
  <si>
    <t>Andelsselskabet Gram Vandværk</t>
  </si>
  <si>
    <t>Toftlund Vand Amba</t>
  </si>
  <si>
    <t>Branderup Vandværk</t>
  </si>
  <si>
    <t>Vamdrup Vandværk</t>
  </si>
  <si>
    <t>Vejen Forsyning A/S</t>
  </si>
  <si>
    <t>Rødding Vandværk Amba</t>
  </si>
  <si>
    <t>Brørup Vandværk a.m.b.a.</t>
  </si>
  <si>
    <t>Hjerting Vandværk Amba</t>
  </si>
  <si>
    <t>DIN Forsyning Vand A/S</t>
  </si>
  <si>
    <t>Fanø Vand A/S</t>
  </si>
  <si>
    <t>Bjøvlund Vandværk</t>
  </si>
  <si>
    <t>Skærbæk Vandværk</t>
  </si>
  <si>
    <t>Nordenskov Vandværk</t>
  </si>
  <si>
    <t>Helle Vest Vandværk</t>
  </si>
  <si>
    <t>Skovlund/Ansager Vandværk</t>
  </si>
  <si>
    <t>Andelsselskabet Klinting Vandværk</t>
  </si>
  <si>
    <t>Outrup Vandværk I/S</t>
  </si>
  <si>
    <t>Oxby og Ho Vandværk a.m.b.a.</t>
  </si>
  <si>
    <t>Tistrup Vandværk</t>
  </si>
  <si>
    <t>Ølgod Vandværk Amba</t>
  </si>
  <si>
    <t>Ringkøbing - Skjern Vand A/S</t>
  </si>
  <si>
    <t>Videbæk Vand A/S</t>
  </si>
  <si>
    <t>Ulfborg Vandværk Amba</t>
  </si>
  <si>
    <t>Børkop Vandværk A.m.b.A</t>
  </si>
  <si>
    <t>Juelsminde Grundejerforening</t>
  </si>
  <si>
    <t>GEV vand A/S</t>
  </si>
  <si>
    <t>Billund Drikkevand A/S</t>
  </si>
  <si>
    <t>Sdr. Felding Vandværk</t>
  </si>
  <si>
    <t>Give Vandværk A.m.b.a</t>
  </si>
  <si>
    <t>Brande Vandværk A.m.b.a.</t>
  </si>
  <si>
    <t>Herning Vand A/S</t>
  </si>
  <si>
    <t>Andelsselskabet Hammerum Vandværk</t>
  </si>
  <si>
    <t>Snejbjerg Vandværk I/S</t>
  </si>
  <si>
    <t>Ikast Vandforsyning A.m.b.A</t>
  </si>
  <si>
    <t>Bording Vandværk A.m.b.a</t>
  </si>
  <si>
    <t>Sunds Vand- og Varmeværk</t>
  </si>
  <si>
    <t>Vildbjerg Vandværk</t>
  </si>
  <si>
    <t>Aulum Vandværk Amba</t>
  </si>
  <si>
    <t>Vestforsyning Vand A/S</t>
  </si>
  <si>
    <t>Struer Energi Vand A/S</t>
  </si>
  <si>
    <t>Lemvig Vand A/S</t>
  </si>
  <si>
    <t>Thy Forsyning A/S</t>
  </si>
  <si>
    <t>Hurup Vandværk A.m.b.a.</t>
  </si>
  <si>
    <t>Skive Vand A/S</t>
  </si>
  <si>
    <t>Morsø Vand A/S</t>
  </si>
  <si>
    <t>Aarhus Vand A/S</t>
  </si>
  <si>
    <t>Egå Vandværk a.m.b.a</t>
  </si>
  <si>
    <t>Odder Vandværk a.m.b.a.</t>
  </si>
  <si>
    <t>Hasselager-Kolt Vandværk A.M.B.A.</t>
  </si>
  <si>
    <t>Gl. Hørning Vandværk</t>
  </si>
  <si>
    <t>Hadsten Vandværk A.M.B.A</t>
  </si>
  <si>
    <t>Hinnerup Vandværk I/S</t>
  </si>
  <si>
    <t>Søften Vandværk I/S</t>
  </si>
  <si>
    <t>Djurs Vand</t>
  </si>
  <si>
    <t>Hammel Vandværk Amba</t>
  </si>
  <si>
    <t>Galten Vandværk</t>
  </si>
  <si>
    <t>Vandcenter Djurs a.m.b.a.</t>
  </si>
  <si>
    <t>AquaDjurs A/S (Vand)</t>
  </si>
  <si>
    <t>Løgten Skødstrup Vandværk A.m.b.a.</t>
  </si>
  <si>
    <t>Hornslet Vandværk</t>
  </si>
  <si>
    <t>Silkeborg Vand A/S</t>
  </si>
  <si>
    <t>Them Vandværk A.M.B.A.</t>
  </si>
  <si>
    <t>I/S Almtoft-Kjellerup Vandværk</t>
  </si>
  <si>
    <t>Skanderborg Forsyning A/S</t>
  </si>
  <si>
    <t>Ry Vandværk</t>
  </si>
  <si>
    <t>Horsens Vand A/S</t>
  </si>
  <si>
    <t>Hedensted Vandværk</t>
  </si>
  <si>
    <t>Brædstrup Vandværk Amba</t>
  </si>
  <si>
    <t>Energi Viborg Vand A/S</t>
  </si>
  <si>
    <t>Bjerringbro Fællesvandværk</t>
  </si>
  <si>
    <t>Vandmiljø Randers</t>
  </si>
  <si>
    <t>Strømmen Vandværk</t>
  </si>
  <si>
    <t>Verdo Vand A/S</t>
  </si>
  <si>
    <t>Vandsam A/S</t>
  </si>
  <si>
    <t>I/S Kristrup Vandværk</t>
  </si>
  <si>
    <t>Aalborg Vand A/S</t>
  </si>
  <si>
    <t>Andelsselskabet Vejgaard Vandværk</t>
  </si>
  <si>
    <t>VSK</t>
  </si>
  <si>
    <t>Vodskov Vandværk</t>
  </si>
  <si>
    <t>Hjallerup Vandforsyning</t>
  </si>
  <si>
    <t>Dronninglund Vandværk I/S</t>
  </si>
  <si>
    <t>Østvendsyssel Råvandsforsyningsselskab I/S</t>
  </si>
  <si>
    <t>Ulsted-Aalebæk Vandværk</t>
  </si>
  <si>
    <t>Lindholm Vandværk a.m.b.a</t>
  </si>
  <si>
    <t>Nr. Uttrup Vandværk Amba</t>
  </si>
  <si>
    <t>Aabybro Vand A.m.b.a.</t>
  </si>
  <si>
    <t>Vandforsyningen Brovst og Omegn</t>
  </si>
  <si>
    <t>Løkken Vandværk</t>
  </si>
  <si>
    <t>Jammerbugt Forsyning A/S</t>
  </si>
  <si>
    <t>Pandrup Vandværk</t>
  </si>
  <si>
    <t>Mariagerfjord Vand a/s</t>
  </si>
  <si>
    <t>Skørping Vandværk</t>
  </si>
  <si>
    <t>Rebild Vand &amp; Spildevand A/S (Sejlstrup Vandværk)</t>
  </si>
  <si>
    <t>Støvring Vandværk a.m.b.a.</t>
  </si>
  <si>
    <t>Mariager Vand Amba</t>
  </si>
  <si>
    <t>Hadsund Vandværk a.m.b.a.</t>
  </si>
  <si>
    <t>Aars Vand</t>
  </si>
  <si>
    <t>Aalestrup Vand a.m.b.a.</t>
  </si>
  <si>
    <t>Farsø Vandværk I/S</t>
  </si>
  <si>
    <t>Vesthimmerlands Vand A/S</t>
  </si>
  <si>
    <t>Løgstør Vand Amba</t>
  </si>
  <si>
    <t>Fjerritslev Vand Amba</t>
  </si>
  <si>
    <t>Brønderslev Vand A/S</t>
  </si>
  <si>
    <t>Vrå Vandværk Amba</t>
  </si>
  <si>
    <t>Hjørring Vandselskab A/S</t>
  </si>
  <si>
    <t>Hæstrup Vandværk I/S</t>
  </si>
  <si>
    <t>Tårs Vandværk Amba</t>
  </si>
  <si>
    <t>Sindal Vandværk Amba</t>
  </si>
  <si>
    <t>Frederikshavn Vand A/S</t>
  </si>
  <si>
    <t>Læsø Vand A/S</t>
  </si>
  <si>
    <t>Samlet købt el - transport</t>
  </si>
  <si>
    <t>Samlet købt varme - transport</t>
  </si>
  <si>
    <t>Solgt El - transport</t>
  </si>
  <si>
    <t>Solgt Varme - transport</t>
  </si>
  <si>
    <t>Debiteret vandforbrug i kloaksystemets opland</t>
  </si>
  <si>
    <t>MK2000</t>
  </si>
  <si>
    <t>MK2501</t>
  </si>
  <si>
    <t>MK2090</t>
  </si>
  <si>
    <t>MK2580</t>
  </si>
  <si>
    <t>DR0100</t>
  </si>
  <si>
    <t>MK2505</t>
  </si>
  <si>
    <t>MK2510</t>
  </si>
  <si>
    <t>MK2515</t>
  </si>
  <si>
    <t>MK2525</t>
  </si>
  <si>
    <t>MK2530</t>
  </si>
  <si>
    <t>,=IF(INDEX(rSPV!$E$10:$AO$114;MATCH($A5;rSPV!$B$10:$B$114;0);MATCH(C$4;rSPV!$E$4:$AO$4;0))="";"";INDEX(rSPV!$E$10:$AO$114;MATCH($A5;rSPV!$B$10:$B$114;0);MATCH(C$4;rSPV!$E$4:$AO$4;0)))</t>
  </si>
  <si>
    <t>BIOFOS Lynettefællesskabet A/S</t>
  </si>
  <si>
    <t>,=IF(ISNUMBER(INDEX(rSPV!$E$10:$AO$114;MATCH($A5;rSPV!$B$10:$B$114;0);MATCH(D$4;rSPV!$E$4:$AO$4;0)));INDEX(rSPV!$E$10:$AO$114;MATCH($A5;rSPV!$B$10:$B$114;0);MATCH(D$4;rSPV!$E$4:$AO$4;0));IF(INDEX(rSPV!$E$10:$AO$114;MATCH($A5;rSPV!$B$10:$B$114;0);MATCH("MK2500";rSPV!$E$4:$AO$4;0))="";"";INDEX(rSPV!$E$10:$AO$114;MATCH($A5;rSPV!$B$10:$B$114;0);MATCH("MK2500";rSPV!$E$4:$AO$4;0))))</t>
  </si>
  <si>
    <t>Frederiksberg Spildevand A/S</t>
  </si>
  <si>
    <t>HOFOR Spildevand København A/S</t>
  </si>
  <si>
    <t>Glostrup Spildevand A/S</t>
  </si>
  <si>
    <t>HOFOR Spildevand Brøndby A/S</t>
  </si>
  <si>
    <t>HOFOR Spildevand Rødovre A/S</t>
  </si>
  <si>
    <t>HOFOR Spildevand Albertslund A/S</t>
  </si>
  <si>
    <t>HTK Kloak A/S</t>
  </si>
  <si>
    <t>Ishøj Spildevand A/S</t>
  </si>
  <si>
    <t>BIOFOS Spildevandscenter Avedøre A/S</t>
  </si>
  <si>
    <t>HOFOR Spildevand Hvidovre A/S</t>
  </si>
  <si>
    <t>HOFOR Spildevand Vallensbæk A/S</t>
  </si>
  <si>
    <t>KLAR Forsyning Greve Spildevand A/S</t>
  </si>
  <si>
    <t>KLAR Forsyning Solrød Spildevand A/S</t>
  </si>
  <si>
    <t>HOFOR Spildevand Herlev A/S</t>
  </si>
  <si>
    <t>Novafos Spildevand Ballerup A/S</t>
  </si>
  <si>
    <t>Novafos Måløv Rens A/S</t>
  </si>
  <si>
    <t>TÅRNBYFORSYNING Spildevand A/S</t>
  </si>
  <si>
    <t>HOFOR Spildevand Dragør A/S</t>
  </si>
  <si>
    <t>Lyngby-Taarbæk Spildevand A/S</t>
  </si>
  <si>
    <t>Mølleåværket A/S</t>
  </si>
  <si>
    <t>Novafos Spildevand Gentofte A/S</t>
  </si>
  <si>
    <t>Novafos Spildevand Gladsaxe A/S</t>
  </si>
  <si>
    <t>Novafos Spildevand Rudersdal A/S</t>
  </si>
  <si>
    <t>Novafos Spildevand Hørsholm A/S</t>
  </si>
  <si>
    <t>Forsyning Helsingør Spildevand A/S</t>
  </si>
  <si>
    <t>Gribskov Spildevand A/S</t>
  </si>
  <si>
    <t>Halsnæs Spildevand A/S</t>
  </si>
  <si>
    <t>Hillerød Spildevand A/S</t>
  </si>
  <si>
    <t>Novafos Spildevand Allerød A/S</t>
  </si>
  <si>
    <t>Fredensborg Spildevand A/S</t>
  </si>
  <si>
    <t>Novafos Spildevand Furesø A/S</t>
  </si>
  <si>
    <t>Novafos Spildevand Frederikssund A/S</t>
  </si>
  <si>
    <t>Novafos Spildevand Egedal A/S</t>
  </si>
  <si>
    <t>Bornholms Spildevand A/S</t>
  </si>
  <si>
    <t>Fors Spildevand Roskilde A/S</t>
  </si>
  <si>
    <t>Ringsted Spildevand A/S</t>
  </si>
  <si>
    <t>SK Spildevand A/S</t>
  </si>
  <si>
    <t>Sorø Spildevand A/S</t>
  </si>
  <si>
    <t>Fors Spildevand Holbæk A/S</t>
  </si>
  <si>
    <t>Fors Spildevand Lejre A/S</t>
  </si>
  <si>
    <t>Kalundborg Rens og Spildevand</t>
  </si>
  <si>
    <t>Odsherred Spildevand A/S</t>
  </si>
  <si>
    <t>KLAR Forsyning Køge Afløb A/S</t>
  </si>
  <si>
    <t>KLAR Forsyning Stevns Spildevand A/S</t>
  </si>
  <si>
    <t>Faxe Spildevand A/S</t>
  </si>
  <si>
    <t>NK-Spildevand A/S</t>
  </si>
  <si>
    <t>Vordingborg Spildevand A/S</t>
  </si>
  <si>
    <t>Guldborgsund Spildevand A/S</t>
  </si>
  <si>
    <t>Lolland Spildevand A/S</t>
  </si>
  <si>
    <t>Kerteminde Forsyning - Spildevand A/S</t>
  </si>
  <si>
    <t>Middelfart Spildevand A/S</t>
  </si>
  <si>
    <t>FFV Spildevand A/S</t>
  </si>
  <si>
    <t>Assens Spildevand A/S</t>
  </si>
  <si>
    <t>Svendborg Spildevand A/S</t>
  </si>
  <si>
    <t>Langeland Spildevand ApS</t>
  </si>
  <si>
    <t>BlueKolding A/S</t>
  </si>
  <si>
    <t>Provas-Haderslev Spildevand A/S</t>
  </si>
  <si>
    <t>Arwos Spildevand A/S</t>
  </si>
  <si>
    <t>Tønder Spildevand A/S</t>
  </si>
  <si>
    <t>SONFOR Spildevand A/S</t>
  </si>
  <si>
    <t>DIN Forsyning Spildevand A/S</t>
  </si>
  <si>
    <t>Ringkøbing - Skjern Spildevand A/S</t>
  </si>
  <si>
    <t>Fredericia Spildevand og Energi A/S</t>
  </si>
  <si>
    <t>Vejle Spildevand A/S</t>
  </si>
  <si>
    <t>Billund Spildevand A/S</t>
  </si>
  <si>
    <t>Ikast-Brande Spildevand A/S</t>
  </si>
  <si>
    <t>Vestforsyning Spildevand A/S</t>
  </si>
  <si>
    <t>Struer Energi Spildevand A/S</t>
  </si>
  <si>
    <t>Morsø Spildevand A/S</t>
  </si>
  <si>
    <t>Odder Spildevand A/S</t>
  </si>
  <si>
    <t>Samsø Spildevand A/S</t>
  </si>
  <si>
    <t>Syddjurs Spildevand (AquaDjurs A/S)</t>
  </si>
  <si>
    <t>AquaDjurs A/S (Spildevand)</t>
  </si>
  <si>
    <t>Favrskov Forsyning A/S</t>
  </si>
  <si>
    <t>Silkeborg Spildevand A/S</t>
  </si>
  <si>
    <t>Hedensted Spildevand A/S</t>
  </si>
  <si>
    <t>Energi Viborg Spildevand A/S</t>
  </si>
  <si>
    <t>Vandmiljø Randers A/S</t>
  </si>
  <si>
    <t>Aalborg Kloak A/S</t>
  </si>
  <si>
    <t>Mariagerfjord Spildevand A/S</t>
  </si>
  <si>
    <t>Rebild Vand &amp; Spildevand A/S</t>
  </si>
  <si>
    <t>Brønderslev Spildevand A/S</t>
  </si>
  <si>
    <t>Frederikshavn Spildevand A/S</t>
  </si>
  <si>
    <t>Købt el (Samlet rensning)</t>
  </si>
  <si>
    <t>Købt varme</t>
  </si>
  <si>
    <t>Solgt egenproduceret el (Samlet rensning)</t>
  </si>
  <si>
    <t>Solgt varme/energi</t>
  </si>
  <si>
    <t>Solgt varme primæraktivitet</t>
  </si>
  <si>
    <t>Solgt varme egne store varmepumer</t>
  </si>
  <si>
    <t>Solgt kemisk bundet energi</t>
  </si>
  <si>
    <t>Debiteret vandforbrug i renseanlæggenes opland</t>
  </si>
  <si>
    <t>fjernvarme</t>
  </si>
  <si>
    <t>Andet fossilt</t>
  </si>
  <si>
    <t>Vedvarende</t>
  </si>
  <si>
    <t>Varmepumpe koncern</t>
  </si>
  <si>
    <t>Varmepumpe ekstern</t>
  </si>
  <si>
    <t>Dk øst eller vest</t>
  </si>
  <si>
    <t>Indløbsmængde: -Tot-N</t>
  </si>
  <si>
    <t>Udløbsmængde: -Tot-N</t>
  </si>
  <si>
    <t>Tot-N udledt via overløb fra fælleskloak</t>
  </si>
  <si>
    <t>Tot-N udledt via regnvand</t>
  </si>
  <si>
    <t>Indløbsmængde: -COD</t>
  </si>
  <si>
    <t>Biogasproduktion</t>
  </si>
  <si>
    <t>kg</t>
  </si>
  <si>
    <t>PULS</t>
  </si>
  <si>
    <t>MK4000</t>
  </si>
  <si>
    <t>MK4501</t>
  </si>
  <si>
    <t>MK4201</t>
  </si>
  <si>
    <t>MK4711</t>
  </si>
  <si>
    <t>MK4750</t>
  </si>
  <si>
    <t>MK4770</t>
  </si>
  <si>
    <t>MK4720</t>
  </si>
  <si>
    <t>MK4740</t>
  </si>
  <si>
    <t>MK4730</t>
  </si>
  <si>
    <t>DR3200</t>
  </si>
  <si>
    <t>MK4505</t>
  </si>
  <si>
    <t>MK4510</t>
  </si>
  <si>
    <t>MK4515</t>
  </si>
  <si>
    <t>MK4525</t>
  </si>
  <si>
    <t>MK4530</t>
  </si>
  <si>
    <t>MK3300</t>
  </si>
  <si>
    <t>MK3350</t>
  </si>
  <si>
    <t>MK2860</t>
  </si>
  <si>
    <t>MK2960</t>
  </si>
  <si>
    <t>MK3100</t>
  </si>
  <si>
    <t>MK5000</t>
  </si>
  <si>
    <t>MK4501, MK4201, MK4711</t>
  </si>
  <si>
    <t>﻿</t>
  </si>
  <si>
    <t>Årstal</t>
  </si>
  <si>
    <t>Kategori</t>
  </si>
  <si>
    <t>Driftsdata</t>
  </si>
  <si>
    <t>Miljø, kvalitet og kunder</t>
  </si>
  <si>
    <t>Økonomi D&amp;V</t>
  </si>
  <si>
    <t>Basisdata</t>
  </si>
  <si>
    <t>Underkategori</t>
  </si>
  <si>
    <t>Produktion</t>
  </si>
  <si>
    <t>Total for vandområdet</t>
  </si>
  <si>
    <t>SpørgsmålsId</t>
  </si>
  <si>
    <t>MK8200</t>
  </si>
  <si>
    <t>Spørgsmålstekst</t>
  </si>
  <si>
    <t>Solgt egenproduceret varme/energi</t>
  </si>
  <si>
    <t>Kort spørgsmålstekst</t>
  </si>
  <si>
    <t>-</t>
  </si>
  <si>
    <t>Spørgsmålsdefinition</t>
  </si>
  <si>
    <t>Den råvandsmængde, der behandles af vandforsyningen.</t>
  </si>
  <si>
    <t xml:space="preserve">Samlet købt el opgøres på baggrund af opgørelser fra elselskabet. I opgørelserne medtages drikkevandsselskabet andel af elforbruget på fællesfaciliteter ved fælles administration og lign. Der indgår købt el til drift af drikkevandsselskabet. små varmepumper brugt til intern opvarmning samt evt. el til store varmepumper (ejet og drevet af vandselskabet), der trækker energi ud af drikkevandet med henblik på salg til f.eks. fjernvarme.  OBS: Her indgår også internt forbrugt el, der har været igennem en intern afregningsmåler, der afregnes med el-selskabet. Det betragtes som en solgt mængde, der genkøbes og skal registreres under både købt el og solgt el. </t>
  </si>
  <si>
    <t>Elproduktion i form af solceller vindmøller og lignende, som drives af og er placeret i forbindelse med drikkevandsselskabet. Solgt egenproduceret el opgøres som den mængde el, der er solgt og sendt ud på el-selskabets elnet.   OBS: Her indgår internt forbrugt el, der har været igennem en intern afregningsmåler, der afregnes med el-selskabet. Det betragtes som en solgt mængde, der genkøbes og skal registreres under både købt el og solgt el.   Anfør gerne i beskedfeltet, hvilken type elproduktion det er.</t>
  </si>
  <si>
    <t>Samlet købt varme, der er anvendt af drikkevandsselskabet. I opgørelserne medtages drikkevandsselskabet andel af Varme-forbruget på fællesfaciliteter ved fælles administration o.lign. Alt køb af varme (Olie¸ naturgas og træ o.lign.) omregnes til KWh på baggrund af omregningstabel, der er udgivet i forbindelse med Performancebenchmarkvejledningen.</t>
  </si>
  <si>
    <t xml:space="preserve">Samlet købt varme er en sum af alle varmekilder anvendt af selskabet. Det gælder købt fjernvarme, købt naturgas, købt råolie- og olieprodukter, købt andet fossilt inkl. kul samt købt vedvarende energikilde. I opgørelserne medtages drikkevandsselskabet andel af varmeforbruget på fællesfaciliteter ved fælles administration og lign.   Alt købt varme omregnes til KWh på baggrund af omregningstabel, der er udgivet i forbindelse med vejledningen til Miljøstyrelsens Performancebenchmarking.  Sum af: MK8205, MK8210, MK8215, MK8225, MK8230. </t>
  </si>
  <si>
    <t>Fjernvarme eller varme fra varmepumper ol. købt af drikkevandsselskabet. Der medtages drikkevandsselskabet andel af fjernvarme på fællesfaciliteter ved fælles administration og lign.</t>
  </si>
  <si>
    <t xml:space="preserve">Naturgas købt af drikkevandsselskabet. Der medtages drikkevandsselskabet andel af købt naturgas på fællesfaciliteter ved fælles administration og lign.  Omregnes til kWh </t>
  </si>
  <si>
    <t>Fyringsolie, råolie- og olieprodukter købt til opvarmning. Posten dækker blandt andet over fyringsolie, benzin og diesel til opvarmning. Der medtages drikkevandsselskabet andel af købt råolie- og olieprodukter på fællesfaciliteter ved fælles administration og lign.  Omregnes til kWh</t>
  </si>
  <si>
    <t xml:space="preserve">Solgt varme fra f.eks. solvarmeanlæg, store varmpumper og lign., som er drevet af og placeret i forbindelse med drikkevandsselskabet.  Solgt egenproduceret varme/energi opgøres som den mængde varme/energi, der er solgt til ekstern modtager. Det gælder b.la. fjernvarme til fjernvarmeselskabet samt varme til andre virksomheder.   Anfør gerne i beskedfeltet hvilken type varmeproduktion det er.  </t>
  </si>
  <si>
    <t>Købt andet fossilt opvarmningsprodukt f.eks. kul og propan. Der medtages drikkevandsselskabet andel af købt andet fossilt inkl. kul på fællesfaciliteter ved fælles administration og lign.   Omregnes til kWh</t>
  </si>
  <si>
    <t xml:space="preserve">Købt vedvarende energikilde til opvarmning. F.eks. træpiller, halm og træflis. Der medtages drikkevandsselskabet andel af købt vedvarende energikilde på fællesfaciliteter ved fælles administration og lign.   Omregnes til kWh </t>
  </si>
  <si>
    <t>Varmeproduktion via store varmepumper, som trækker varme ud af drikkevandet f.eks. i beholderanlæg og transmissionsledninger. Varmepumperne er finansieret og drevet af et andet forsyningsselskab indenfor egen koncern</t>
  </si>
  <si>
    <t xml:space="preserve">Varmeproduktion via store varmepumper, som trækker varme ud af drikkevandet f.eks. i beholderanlæg og transmissionsledninger. Varmepumperne er finansieret og drevet af en ekstern virksomhed udenfor drikkevandsselskabets koncern. </t>
  </si>
  <si>
    <t>Den debiterede vandmængde¸  der er indberettet til forsyningssekretariatet i forbindelse med de økonomiske rammer. Forsyningssekretariatet har til indberetningen til "Den økonomiske ramme for 2022" præciseret definitionen af "Debiteret  vandmængde". Debiteret vandmængde indbefatter debiteret vand i eget forsyningsområde¸ solgt behandlet vand til andre drikkevandsselskaber(eksport)¸ solgt råvand til andre drikkevandsselskaber samt solgt sekundavand til andre virksomheder (f.eks. teknisk vand).</t>
  </si>
  <si>
    <t xml:space="preserve">2: DK øst omfatter Region Sjælland og Hovedstaden. 1: DK vest omfatter Region Syd, Midtjylland og Nordjylland. Anvendes til at opgøre drivhusgasemissioner fra Energinets eldeklaration. </t>
  </si>
  <si>
    <t>Formel</t>
  </si>
  <si>
    <t>[DR1000]+[DR1300]-[DR1400]</t>
  </si>
  <si>
    <t>[MK8205:0]+[MK8210:0]+[MK8215:0]+[MK8225:0]+[MK8230:0]</t>
  </si>
  <si>
    <t>Svar</t>
  </si>
  <si>
    <t>Frederiksberg</t>
  </si>
  <si>
    <t>HOFOR København</t>
  </si>
  <si>
    <t>Glostrup</t>
  </si>
  <si>
    <t>HOFOR Brøndby</t>
  </si>
  <si>
    <t>HOFOR Vallensbk</t>
  </si>
  <si>
    <t>HOFOR Rødovre</t>
  </si>
  <si>
    <t>HOFOR Albertsld</t>
  </si>
  <si>
    <t>HTK Vand</t>
  </si>
  <si>
    <t>Ishøj</t>
  </si>
  <si>
    <t>HOFOR Hvidovre</t>
  </si>
  <si>
    <t>Greve</t>
  </si>
  <si>
    <t>Solrød</t>
  </si>
  <si>
    <t>HOFOR Herlev</t>
  </si>
  <si>
    <t>Novafos Bal</t>
  </si>
  <si>
    <t>Tårnby</t>
  </si>
  <si>
    <t>HOFOR Dragør</t>
  </si>
  <si>
    <t>Lyngby-Taarb</t>
  </si>
  <si>
    <t>Novafos Gen</t>
  </si>
  <si>
    <t>Novafos Gla</t>
  </si>
  <si>
    <t>Novafos Sjæ</t>
  </si>
  <si>
    <t>Novafos Rud</t>
  </si>
  <si>
    <t>Novafos Hør</t>
  </si>
  <si>
    <t>Helsingør</t>
  </si>
  <si>
    <t>Hornbæk</t>
  </si>
  <si>
    <t>Baunehøj</t>
  </si>
  <si>
    <t>Helsinge</t>
  </si>
  <si>
    <t>Vejby</t>
  </si>
  <si>
    <t>Udsholt</t>
  </si>
  <si>
    <t>Gilleleje</t>
  </si>
  <si>
    <t>Halsnæs</t>
  </si>
  <si>
    <t>Halsnæs amba</t>
  </si>
  <si>
    <t>Hillerød</t>
  </si>
  <si>
    <t>Nyhuse</t>
  </si>
  <si>
    <t>Lillerød</t>
  </si>
  <si>
    <t>Birkerød</t>
  </si>
  <si>
    <t>Fredensborg</t>
  </si>
  <si>
    <t>Nødebo</t>
  </si>
  <si>
    <t>Furesø</t>
  </si>
  <si>
    <t>Slangerup</t>
  </si>
  <si>
    <t>Novafos Fre</t>
  </si>
  <si>
    <t>Novafos Ege</t>
  </si>
  <si>
    <t xml:space="preserve">Stenløse </t>
  </si>
  <si>
    <t>Stenlien</t>
  </si>
  <si>
    <t>Rønne Vand</t>
  </si>
  <si>
    <t>Klemensker</t>
  </si>
  <si>
    <t>Bornholm</t>
  </si>
  <si>
    <t>Fors Roskilde</t>
  </si>
  <si>
    <t>Tune</t>
  </si>
  <si>
    <t>Jyllinge</t>
  </si>
  <si>
    <t>Ringsted</t>
  </si>
  <si>
    <t>Borup</t>
  </si>
  <si>
    <t>Benløse R</t>
  </si>
  <si>
    <t>Frederiksber</t>
  </si>
  <si>
    <t>Slagelse-Kor</t>
  </si>
  <si>
    <t>Høng</t>
  </si>
  <si>
    <t>Gørlev</t>
  </si>
  <si>
    <t>Sorø</t>
  </si>
  <si>
    <t>Dianalund</t>
  </si>
  <si>
    <t>Fors Holbæk</t>
  </si>
  <si>
    <t>Fors Lejre</t>
  </si>
  <si>
    <t>Kvarmløse-Tø</t>
  </si>
  <si>
    <t>Kalundborg</t>
  </si>
  <si>
    <t>NV-sjælland</t>
  </si>
  <si>
    <t>Mørkøv</t>
  </si>
  <si>
    <t>Svinninge</t>
  </si>
  <si>
    <t>Asnæs</t>
  </si>
  <si>
    <t>Odsherred</t>
  </si>
  <si>
    <t>Rørvig</t>
  </si>
  <si>
    <t>KLAR Køge</t>
  </si>
  <si>
    <t>Køge Lyngen</t>
  </si>
  <si>
    <t>Ejby</t>
  </si>
  <si>
    <t>Ll. Skens</t>
  </si>
  <si>
    <t>Faxe Smba</t>
  </si>
  <si>
    <t>Haarlev</t>
  </si>
  <si>
    <t>St. Heddinge</t>
  </si>
  <si>
    <t>Faxe</t>
  </si>
  <si>
    <t>Næstved</t>
  </si>
  <si>
    <t>L. Næstved</t>
  </si>
  <si>
    <t xml:space="preserve">Vordingborg </t>
  </si>
  <si>
    <t>Ørslev</t>
  </si>
  <si>
    <t>Guldborgsund</t>
  </si>
  <si>
    <t>Østlolland</t>
  </si>
  <si>
    <t>Nørre Alslev</t>
  </si>
  <si>
    <t xml:space="preserve">Marielyst </t>
  </si>
  <si>
    <t>Lolland</t>
  </si>
  <si>
    <t>VCS</t>
  </si>
  <si>
    <t>Tarup</t>
  </si>
  <si>
    <t>Næsby</t>
  </si>
  <si>
    <t>Kerteminde</t>
  </si>
  <si>
    <t>Bogense</t>
  </si>
  <si>
    <t>Otterup</t>
  </si>
  <si>
    <t>Søndersø</t>
  </si>
  <si>
    <t>Langeskov</t>
  </si>
  <si>
    <t>FFV</t>
  </si>
  <si>
    <t>Assens</t>
  </si>
  <si>
    <t>Glamsbjerg</t>
  </si>
  <si>
    <t>Haarby</t>
  </si>
  <si>
    <t>Svendborg</t>
  </si>
  <si>
    <t>Vindeby</t>
  </si>
  <si>
    <t>Midtfyns</t>
  </si>
  <si>
    <t>V. Skerninge</t>
  </si>
  <si>
    <t>Langeland</t>
  </si>
  <si>
    <t>Ørbæk</t>
  </si>
  <si>
    <t>Ærø</t>
  </si>
  <si>
    <t>BlueKolding</t>
  </si>
  <si>
    <t xml:space="preserve">Bramdrupdam </t>
  </si>
  <si>
    <t>Strandhuse</t>
  </si>
  <si>
    <t>Provas</t>
  </si>
  <si>
    <t>Arwos</t>
  </si>
  <si>
    <t>Rødekro</t>
  </si>
  <si>
    <t>Tønder</t>
  </si>
  <si>
    <t>Bredebro</t>
  </si>
  <si>
    <t>Broager</t>
  </si>
  <si>
    <t>Padborg</t>
  </si>
  <si>
    <t>Tinglev</t>
  </si>
  <si>
    <t>Bolderslev</t>
  </si>
  <si>
    <t>SONFOR</t>
  </si>
  <si>
    <t>Sydals Øst</t>
  </si>
  <si>
    <t>Gram</t>
  </si>
  <si>
    <t>Toftlund</t>
  </si>
  <si>
    <t>Branderup</t>
  </si>
  <si>
    <t>Vamdrup</t>
  </si>
  <si>
    <t>Vejen</t>
  </si>
  <si>
    <t>Rødding</t>
  </si>
  <si>
    <t>Brørup</t>
  </si>
  <si>
    <t>Hjerting</t>
  </si>
  <si>
    <t>DIN Vand</t>
  </si>
  <si>
    <t>Fanø</t>
  </si>
  <si>
    <t>Bjøvlund</t>
  </si>
  <si>
    <t>Skærbæk</t>
  </si>
  <si>
    <t>Nordenskov</t>
  </si>
  <si>
    <t>Helle Vest</t>
  </si>
  <si>
    <t>Skovlund/Ans</t>
  </si>
  <si>
    <t xml:space="preserve">Klinting </t>
  </si>
  <si>
    <t>Outrup</t>
  </si>
  <si>
    <t>Oxby og Ho</t>
  </si>
  <si>
    <t>Tistrup</t>
  </si>
  <si>
    <t>Ølgod</t>
  </si>
  <si>
    <t>Ringk.-Skj.</t>
  </si>
  <si>
    <t>Videbæk</t>
  </si>
  <si>
    <t>Ulfborg</t>
  </si>
  <si>
    <t>Børkop</t>
  </si>
  <si>
    <t>Juelsminde</t>
  </si>
  <si>
    <t>GEV Vand</t>
  </si>
  <si>
    <t>Billund</t>
  </si>
  <si>
    <t>Sdr. Felding</t>
  </si>
  <si>
    <t>Give</t>
  </si>
  <si>
    <t>Brande</t>
  </si>
  <si>
    <t>Herning</t>
  </si>
  <si>
    <t xml:space="preserve">Hammerum </t>
  </si>
  <si>
    <t>Snejbjerg</t>
  </si>
  <si>
    <t>Ikast</t>
  </si>
  <si>
    <t>Bording</t>
  </si>
  <si>
    <t>Sunds</t>
  </si>
  <si>
    <t>Vildbjerg</t>
  </si>
  <si>
    <t>Aulum</t>
  </si>
  <si>
    <t>Vestforsyning</t>
  </si>
  <si>
    <t>Struer</t>
  </si>
  <si>
    <t>Lemvig Vand</t>
  </si>
  <si>
    <t>Thy Forsyning</t>
  </si>
  <si>
    <t>Hurup</t>
  </si>
  <si>
    <t>Skive</t>
  </si>
  <si>
    <t>Morsø</t>
  </si>
  <si>
    <t>Aarhus Vand</t>
  </si>
  <si>
    <t>Egå</t>
  </si>
  <si>
    <t>Odder VV</t>
  </si>
  <si>
    <t>Hasselager-K</t>
  </si>
  <si>
    <t xml:space="preserve">Gl. Hørning </t>
  </si>
  <si>
    <t>Hadsten</t>
  </si>
  <si>
    <t>Hinnerup</t>
  </si>
  <si>
    <t>Søften</t>
  </si>
  <si>
    <t>Djurs</t>
  </si>
  <si>
    <t>Hammel</t>
  </si>
  <si>
    <t>Galten</t>
  </si>
  <si>
    <t>Vandc.Djurs</t>
  </si>
  <si>
    <t>AquaDjurs</t>
  </si>
  <si>
    <t>Løgten-Skøds</t>
  </si>
  <si>
    <t>Hornslet</t>
  </si>
  <si>
    <t>Silkeborg</t>
  </si>
  <si>
    <t>Them</t>
  </si>
  <si>
    <t>Almtoft-Kjel</t>
  </si>
  <si>
    <t>Skanderborg</t>
  </si>
  <si>
    <t>Ry</t>
  </si>
  <si>
    <t>Horsens</t>
  </si>
  <si>
    <t>Hedensted</t>
  </si>
  <si>
    <t>Brædstrup</t>
  </si>
  <si>
    <t>Energi Viborg</t>
  </si>
  <si>
    <t xml:space="preserve">Bjerringbro </t>
  </si>
  <si>
    <t>Randers</t>
  </si>
  <si>
    <t>Strømmen</t>
  </si>
  <si>
    <t>Verdo</t>
  </si>
  <si>
    <t>Vandsam</t>
  </si>
  <si>
    <t>Kristrup</t>
  </si>
  <si>
    <t>Aalborg Vand</t>
  </si>
  <si>
    <t xml:space="preserve">Vejgaard </t>
  </si>
  <si>
    <t>Vodskov</t>
  </si>
  <si>
    <t>Hjallerup</t>
  </si>
  <si>
    <t>Dronninglund</t>
  </si>
  <si>
    <t>Ø.Vendsyssel</t>
  </si>
  <si>
    <t>Ulsted-Aaleb</t>
  </si>
  <si>
    <t>Lindholm</t>
  </si>
  <si>
    <t>Nr. Uttrup</t>
  </si>
  <si>
    <t>Aabybro</t>
  </si>
  <si>
    <t>Brovst&amp;omegn</t>
  </si>
  <si>
    <t>Løkken</t>
  </si>
  <si>
    <t>Jammerbugt</t>
  </si>
  <si>
    <t>Pandrup</t>
  </si>
  <si>
    <t>Mariagerfj.</t>
  </si>
  <si>
    <t>Skørping</t>
  </si>
  <si>
    <t>Rebild-Sejlstr.</t>
  </si>
  <si>
    <t>Støvring</t>
  </si>
  <si>
    <t>Mariager</t>
  </si>
  <si>
    <t>Hadsund</t>
  </si>
  <si>
    <t>Aars</t>
  </si>
  <si>
    <t>Aalestrup</t>
  </si>
  <si>
    <t>Farsø</t>
  </si>
  <si>
    <t>Vesthimmerland</t>
  </si>
  <si>
    <t>Løgstør</t>
  </si>
  <si>
    <t xml:space="preserve">Fjerritslev </t>
  </si>
  <si>
    <t xml:space="preserve">Brønderslev </t>
  </si>
  <si>
    <t>Vrå</t>
  </si>
  <si>
    <t>Hjørring</t>
  </si>
  <si>
    <t>Hæstrup</t>
  </si>
  <si>
    <t>Tårs</t>
  </si>
  <si>
    <t>Sindal</t>
  </si>
  <si>
    <t>Frederikshavn</t>
  </si>
  <si>
    <t>Læsø</t>
  </si>
  <si>
    <t>Transport</t>
  </si>
  <si>
    <t>Rensning</t>
  </si>
  <si>
    <t>Total for spildevandsområdet</t>
  </si>
  <si>
    <t>MK2500</t>
  </si>
  <si>
    <t>MK4200</t>
  </si>
  <si>
    <t>MK4500</t>
  </si>
  <si>
    <t>MK4710</t>
  </si>
  <si>
    <t>Købt el (transport)</t>
  </si>
  <si>
    <t>Solgt egenproduceret el (transport)</t>
  </si>
  <si>
    <t>Købt varme (transport)</t>
  </si>
  <si>
    <t>Købt fjernvarme (transport)</t>
  </si>
  <si>
    <t>Købt naturgas (transport)</t>
  </si>
  <si>
    <t>Købt råolie- og olieprodukter (transport)</t>
  </si>
  <si>
    <t>Købt andet fossilt inkl. kul (transport)</t>
  </si>
  <si>
    <t>Købt vedvarende energikilde (transport)</t>
  </si>
  <si>
    <t>Solgt egenproduceret varme/energi (transport)</t>
  </si>
  <si>
    <t>Købt el (rensning)</t>
  </si>
  <si>
    <t>Solgt egenproduceret el (rensning)</t>
  </si>
  <si>
    <t>Købt varme (samlet rensning)</t>
  </si>
  <si>
    <t>Købt varme (rensning)</t>
  </si>
  <si>
    <t>Købt fjernvarme (rensning)</t>
  </si>
  <si>
    <t>Købt naturgas (rensning)</t>
  </si>
  <si>
    <t>Købt råolie- og olieprodukter (rensning)</t>
  </si>
  <si>
    <t>Købt andet fossilt inkl. kul (rensning)</t>
  </si>
  <si>
    <t>Købt vedvarende energikilde (rensning)</t>
  </si>
  <si>
    <t>Solgt egenproduceret varme og energi (Samlet rensning)</t>
  </si>
  <si>
    <t>Solgt egenproduceret varme/energi (rensning)</t>
  </si>
  <si>
    <t>Ekstern udnyttelse af biomasse (rensning)</t>
  </si>
  <si>
    <t>Solgt kemisk bundet energi (rensning)</t>
  </si>
  <si>
    <t>Solgt varme (primære aktiviteter - rensning)</t>
  </si>
  <si>
    <t>Solgt varme fra egne store varmepumper i udløb – ejet af spildevandsselskabet</t>
  </si>
  <si>
    <t>Varmeproduktion fra store varmepumper i udløb på renseanlæg med henblik på salg – ejet indenfor egen koncern</t>
  </si>
  <si>
    <t>Varmeproduktion fra store varmepumper i udløb på renseanlæg med henblik på salg – ejet af ekstern virksomhed</t>
  </si>
  <si>
    <t>Egenproduceret biogasmængde</t>
  </si>
  <si>
    <t>Nm³</t>
  </si>
  <si>
    <t>Debiteret vandforbrug inden for eget kloaksystems oplande. Opgørelsen baseret på den vandmængde, som er indtægtsgrundlaget for vandafledningsbidraget, dvs. den vandmængde, som spildevandsselskabet modtager og fakturerer kunderne for. Opgørelsen dækker den debiterede vandmængde, som tilledes hele selskabet eget kloaknet dvs. det er ligegyldigt om vandet sendes videre til egne renseanlæg eller til rensning hos eksterne renseanlæg.  Modtages der spildevand fra en naboforsyning, som løber igennem selskabets kloaknet medregnes denne debiterede vandmængde IKKE. Tallet kan være tilsvarende debiteret vandmængde ialt (OD7100) og/eller  debiteret vandmængde i renseanlæggets opland (DR3200) afhængigt af selskabets struktur. Se hjælpeark for opgørelse af deb. vandmængder.</t>
  </si>
  <si>
    <t>Debiteret vandforbrug inden for egne renseanlægs oplande. Opgørelsen baseret på den vandmængde, som er indtægtsgrundlaget for vandafledningsbidraget, dvs. den vandmængde, som spildevandsselskabet modtager og fakturerer kunderne for. Opgørelsen dækker den debiterede vandmængde, som tilledes det kloaknet, som løber ned og ind i selskabets egne renseanlæg. Hertil skal tilægges evt. debiteret vandmængde tilledt direkte fra en naboforsyning samt evt. direkte tilledninger fra industrier, som har egen tilledningsledning direkte til renseanlægget udenom det offentlige kloaknet. Tallet kan være tilsvarende debiteret vandmængde ialt (OD7100) og/eller  debiteret vandmængde i renseanlæggets opland (DR3200) afhængigt af selskabets struktur. Se hjælpeark for opgørelse af deb. vandmængder.</t>
  </si>
  <si>
    <t xml:space="preserve">Købt el anvendt til transport af spildevand.  Opgørelsen er inkl. en andel af den el, der er anvendt til kontorer og fællesadministration.  Købt el til transport og købt el til rensning skal være lig med selskabets samlede købt el. (MK2000 + MK4000 = MK8000)   Købt el er inkl. el anvendt til produktion af el og varme på transportnettet (hvis disse værdier udgør en væsentlig del anføres det i beskedfeltet).  OBS: Her indgår også internt forbrugt el, der har været igennem en intern afregningsmåler, der afregnes med el-selskabet. Det betragtes som en solgt mængde, der genkøbes og skal registreres under både købt el og solgt el.  </t>
  </si>
  <si>
    <t xml:space="preserve">Elproduktion i form af solceller vindmøller og lignende, som drives af og er placeret i forbindelse med transportnettet (f.eks. på pumpestationer). Solgt egenproduceret el opgøres som den mængde el, der er solgt og sendt ud på el-selskabets elnet.   OBS: Her indgår internt forbrugt el, der har været igennem en intern afregningsmåler, der afregnes med el-selskabet. Det betragtes som en solgt mængde, der genkøbes og skal registreres under både købt el og solgt el.   Anfør gerne i beskedfeltet, hvilken type elproduktion, det er.  </t>
  </si>
  <si>
    <t>Købt varme varme anvendt i forbindelse med transport af spildevand - omregnet til kWh. Incl. købt varme anvendt i forbindelse med administration vedr. transport.</t>
  </si>
  <si>
    <t xml:space="preserve">Samlet købt varme er en sum af alle varmekilder anvendt af selskabet. Det gælder købt fjernvarme, købt naturgas, købt råolie- og olieprodukter, købt andet fossilt inkl. kul samt købt vedvarende energikilde. I opgørelserne medtages spildevandsselskabets (transport) andel af varmeforbruget på fællesfaciliteter ved fælles administration og lign.   Alt købt varme omregnes til KWh på baggrund af omregningstabel, der er udgivet i forbindelse med vejledningen til Miljøstyrelsens Performancebenchmark.  Sum af MK2505, MK2510, MK2515, MK2525, MK2530. </t>
  </si>
  <si>
    <t>Fjernvarme eller varme fra varmepumper ol. købt af spildevandsselskabet (transport).  Der medtages spildevandsselskabets (transport) andel af fjernvarme på fællesfaciliteter ved fælles administration og lign.</t>
  </si>
  <si>
    <t xml:space="preserve">Naturgas købt af spildevandsselskabet (transport). Der medtages spildevandsselskabets (transport) andel af købt naturgas på fællesfaciliteter ved fælles administration og lign.  Omregnes til kWh </t>
  </si>
  <si>
    <t xml:space="preserve">Fyringsolie, råolie- og olieprodukter købt af spildevandsselskabet (transport) til opvarmning. Posten dækker blandt andet over fyringsolie, benzin og diesel til opvarmning. Der medtages spildevandsselskabets (transport) andel af købt råolie- og olieprodukter på fællesfaciliteter ved fælles administration og lign.  Omregnes til kWh </t>
  </si>
  <si>
    <t xml:space="preserve">Købt andet fossilt opvarmningsprodukt f.eks. kul og propan. Der medtages spildevandsselskabets (transport)  andel af købt andet fossilt inkl. kul på fællesfaciliteter ved fælles administration og lign.   Omregnes til kWh </t>
  </si>
  <si>
    <t xml:space="preserve">Købt vedvarende energikilde til opvarmning. Herunder ligger varme til opvarmning fra f.eks. træpiller, halm og træflis. Der medtages spildevandsselskabets (transport) andel af købt vedvarende energikilde på fællesfaciliteter ved fælles administration og lign.   Omregnes til kWh </t>
  </si>
  <si>
    <t xml:space="preserve">Solgt varme fra f.eks. solvarmeanlæg, store varmepumper og lign., som er drevet af og placeret i forbindelse med transportnettet (f.eks. på pumpestationer.   Solgt egenproduceret varme/energi opgøres som den mængde varme/energi, der er solgt til ekstern modtager. Det gælder b.la. fjernvarme til fjernvarmeselskabet samt varme til andre virksomheder.   Anfør gerne i beskedfeltet hvilken type varmeproduktion det er. </t>
  </si>
  <si>
    <t>Samlet udledte kvælstofmængde via overløbsbygværker fra fælles kloak. Beregningen er en opsummering af selskabets data i PULS  og baseres på udledt vandmængde fra overløb og målt/beregnet næringsstofindhold.</t>
  </si>
  <si>
    <t>Samlet udledte kvælstofmængde via regnvandsudledninger. Beregningen er en opsummering af selskabets data i PULS  og baseres på udledt regnvandsmængder og beregnet kvælstofindhold.</t>
  </si>
  <si>
    <t>Den samlede belastning målt i kg i tilløbsvandet til alle forsyningens renseanlæg. Tallet er en sum af de mængder for selskabets renseanlæg¸(PULS data)</t>
  </si>
  <si>
    <t>Den samlede belastning målt i kg i tilløbsvandet til alle forsyningens renseanlæg. Tallet er en sum af de mængder for selskabets renseanlæg¸ der bør kunne udtrækkes fra PULS.</t>
  </si>
  <si>
    <t>Samlet belastning i udløbsvandet fra renseanlæggene. Tallet er en sum af de mængder for selskabets renseanlæg¸ der bør kunne udtrækkes fra PULS.</t>
  </si>
  <si>
    <t>Købt el anvendt til rensning af spildevand. Opgørelsen er inkl. en andel af den el, der er anvendt til kontorer og fællesadministration.  Der indgår købt el til rensning af spildevand, biogasproduktion, slamhåndtering, yderligere slamhåndtering, anden elproduktion og el til små varmepumper brugt til intern opvarmning samt evt. el til store varmepumper (ejet og drevet af vandselskabet), der trækker energi ud af vandet med henblik på salg til f.eks. fjernvarme.   OBS: Her indgår også internt forbrugt el, der har været igennem en intern afregningsmåler, der afregnes med el-selskabet. Det betragtes som en solgt mængde, der genkøbes og skal registreres under både købt el og solgt el. Købt El til transport og købt El til rensning skal være lig med selskabets samlede købt EL.   (MK2000 + MK4000 = MK8000)</t>
  </si>
  <si>
    <t>Samlet egenproduceret el-eksport. Omfatter solgt el fra primære aktiviteter (MK4250), solgt el fra yderligere slambehandling (MK4260) og solgt el fra anden elproduktion (MK4280).</t>
  </si>
  <si>
    <t>Elproduktion i form af el fra gasmotor, solceller, vindmøller og lignende, som er placeret i forbindelse med renseanlæg. Solgt egenproduceret el opgøres som den mængde el, der er solgt og sendt ud på el-selskabets elnet.   OBS: Her indgår internt forbrugt el, der har været igennem en intern afregningsmåler, der afregnes med el-selskabet. Det betragtes som en solgt mængde, der genkøbes og skal registreres under både købt el og solgt el.   Anfør gerne i beskedfeltet, hvilken type elproduktion, det er.  MK 4201 = MK4250 + MK4280  Tidligere MK4200</t>
  </si>
  <si>
    <t xml:space="preserve">Samlet købt varme er en sum af alle varmekilder anvendt af selskabet. Det gælder købt fjernvarme, købt naturgas, købt råolie- og olieprodukter, købt andet fossilt inkl. kul samt købt vedvarende energikilde. I opgørelserne medtages spildevandsselskabets (rensning) andel af varmeforbruget på fællesfaciliteter ved fælles administration og lign.   Alt købt varme omregnes til KWh på baggrund af omregningstabel, der er udgivet i forbindelse med vejledningen til Miljøstyrelsens Performancebenchmark.  Sum af: MK4505, MK4510, MK4515, MK4525, MK4530.  Tidligere MK4500. </t>
  </si>
  <si>
    <t>Fjernvarme eller varme fra varmepumper ol. købt af spildevandsselskabet (rensning).  Der medtages spildevandsselskabets (rensning) andel af fjernvarme på fællesfaciliteter ved fælles administration og lign.</t>
  </si>
  <si>
    <t xml:space="preserve">Naturgas købt af spildevandsselskabet (rensning). Der medtages spildevandsselskabets (rensning) andel af købt naturgas på fællesfaciliteter ved fælles administration og lign.  Omregnes til kWh </t>
  </si>
  <si>
    <t>Fyringsolie, råolie- og olieprodukter købt til opvarmning. Posten dækker blandt andet over fyringsolie, benzin og diesel til opvarmning. Der medtages spildevandsselskabets (rensning) andel af købt råolie- og olieprodukter på fællesfaciliteter ved fælles administration og lign.  Omregnes til kWh</t>
  </si>
  <si>
    <t>Købt andet fossilt opvarmningsprodukt f.eks. kul og propan. Der medtages spildevandsselskabets (rensning) andel af købt andet fossilt inkl. kul på fællesfaciliteter ved fælles administration og lign.   Omregnes til kWh</t>
  </si>
  <si>
    <t xml:space="preserve">Købt vedvarende energikilde til opvarmning. F.eks. træpiller, halm og træflis. Der medtages spildevandsselskabets (rensning) andel af købt vedvarende energikilde på fællesfaciliteter ved fælles administration og lign.   Omregnes til kWh </t>
  </si>
  <si>
    <t>Solgt egenproduceret varme og energi fra renseanlæg. Summen af solgt fjernvarme m.m. samt omregnet energi i biogas eller kemisk bundet energi. Omfatter varme fra primære aktiviteter (MK4750)¸ yderligere slamhåndtering (MK4760), anden varmeproduktion (MK4770 og MK4775) og energiindhold i solgt biogas og kemisk bundet energi. Omregnes efter MST vejledning.</t>
  </si>
  <si>
    <t>Varmeproduktion i form af solvarmeanlæg, som er placeret i forbindelse med renseanlægget, store varmepumper i udløb, biogas, tørret slam (kemisk bundet energi) og lign.   Solgt egenproduceret varme/energi opgøres som den mængde varme/energi, der er solgt til ekstern modtager. Det gælder b.la. fjernvarme til fjernvarmeselskabet samt varme eller energi til andre virksomheder.   MK4711 = MK4750 + MK4720 + MK4740 + MK4770  Tidligere MK4710</t>
  </si>
  <si>
    <t xml:space="preserve">Energigevinst ved solgt biogas fra rådnetanke, der sælges uden at blive udnyttet på gasmotor.   Omregnes til kWh.   Se omregningsfaktor i Miljøstyrelsens vejledning til Performancebenchmarking </t>
  </si>
  <si>
    <t>Energigevinst ved biomasse leveret til ekstern energiproducent.  Energigevinst ved energiproduktion baseret på overskudslam fra spildevandsselskabet hos ekstern energiproducent som f.eks. andre spildevandsselskaber, biogasanlæg eller forbrændingsanlæg. For biomasse, der leveres til ekstern energiproducent, kan den estimerede energigevinst opgøres ud fra energiproducentens solgte energimængde produceret på biomassen eller som energigevinsten i biomassen opgjort ved omregning. Se vejledning i Performancebenchmarking fra MST for omregningstabel.</t>
  </si>
  <si>
    <t xml:space="preserve">Eksport af øvrig kemisk bundet energi.  Eksport af tørret slam, biodiesel, biomethanol mv. fra yderligere slamhåndtering til eksterne aftagere, som nyttiggør brændselsværdien - omregnet til kWh (se hjælpeark) </t>
  </si>
  <si>
    <t>Varme-produktion fra primære aktiviteter i forbindelse med rensning af spildevand. Der angives den mængde, som er solgt/leveret til fjernvarmenet eller tilsvarende.  Varme-produktion fra primære aktiviteter omfatter typisk varme fra biogasproduktion f.eks. overskudsvarme fra elproduktion eller varme produceret i kedler og tilsvarende.   Solgt varme fra yderligere slamhåndtering indregnes ikke her, men opgøres særskilt i MK4760.</t>
  </si>
  <si>
    <t>Delmængde af varmeproduktion fra store varmepumper i udløb på renseanlæg, der er etableret med henblik på salg. Varmepumper der er etableret med henblik på salg. Delmængde af MK4780. Indgår også i solgt egenproduceret varme/energi (MK4711)   MK4670 + MK4770 = MK4780</t>
  </si>
  <si>
    <t>Varmeproduktion via store varmepumper, som trækker varme ud af spildevand i udløb fra renseanlægget.  Varmepumperne er finansieret og drevet af et andet forsyningsselskab indenfor egen koncern.</t>
  </si>
  <si>
    <t>Varmeproduktion via store varmepumper, som trækker varme ud af spildevand i udløb fra renseanlægget.  Varmepumperne er finansieret og drevet af en ekstern virksomhed udenfor spildevandsselskabets koncern.</t>
  </si>
  <si>
    <t>Produceret biogasmængde på renseanlæg opgjort i normalkubikmeter . Spørgsmålet er samtidig en indikationn på om selskabet har biogasanlæg. Hvis der svares "0" angiver selskabet at de ikke har et biogasanlæg på nogle af sine renseanlæg.</t>
  </si>
  <si>
    <t>[MK2505:0]+[MK2510:0]+[MK2515:0]+[MK2525:0]+[MK2530:0]</t>
  </si>
  <si>
    <t>[MK4250:0]+[MK4280:0]</t>
  </si>
  <si>
    <t>[MK4505:0]+[MK4510:0]+[MK4515:0]+[MK4525:0]+[MK4530:0]</t>
  </si>
  <si>
    <t>[MK4750:0]+[MK4720:0]+[MK4740:0]+[MK4770:0]</t>
  </si>
  <si>
    <t>BIOFOS LYN</t>
  </si>
  <si>
    <t>HTK Kloak</t>
  </si>
  <si>
    <t>BIOFOS SCA</t>
  </si>
  <si>
    <t>KLAR Greve</t>
  </si>
  <si>
    <t>KLAR Solrød</t>
  </si>
  <si>
    <t>Novafos Mål</t>
  </si>
  <si>
    <t>Mølleåværket</t>
  </si>
  <si>
    <t>Gribskov</t>
  </si>
  <si>
    <t>Novafos All</t>
  </si>
  <si>
    <t>Novafos Fur</t>
  </si>
  <si>
    <t>KLAR Stevns</t>
  </si>
  <si>
    <t>Middelfart</t>
  </si>
  <si>
    <t>Kolding</t>
  </si>
  <si>
    <t>DIN Spildevand</t>
  </si>
  <si>
    <t>Fredericia</t>
  </si>
  <si>
    <t>Vejle</t>
  </si>
  <si>
    <t>Ikast-Brande</t>
  </si>
  <si>
    <t>Odder</t>
  </si>
  <si>
    <t>Samsø</t>
  </si>
  <si>
    <t>Syddjurs</t>
  </si>
  <si>
    <t>Favrskov</t>
  </si>
  <si>
    <t>Aalborg</t>
  </si>
  <si>
    <t>Rebild</t>
  </si>
  <si>
    <t>Brønderslev</t>
  </si>
  <si>
    <t>Fr. Havn</t>
  </si>
  <si>
    <t>Sum af nedenstående brændsler</t>
  </si>
  <si>
    <t>Sum af diesel og benzin til driftsbiler</t>
  </si>
  <si>
    <t>Kommentar til målsætning om klimaneutralitet</t>
  </si>
  <si>
    <t>Kommentar til målsætning om energineutralitet</t>
  </si>
  <si>
    <t xml:space="preserve">             Skriv venligst hvem Miljøstyrelsen kan kontakte hvis der er spørgsmål til data</t>
  </si>
  <si>
    <t xml:space="preserve">Hvis der er generelle kommentarer til jeres indberetning, så kan de angives i kommentarfeltet nedenfor. </t>
  </si>
  <si>
    <t xml:space="preserve">Hvis der er kommentarer til specifikke poster, så kan de angives i kommentarfelterne under indberetningen af poster i fanerne "Drikkevand", "Afløb" og "Renseanlæg". </t>
  </si>
  <si>
    <t>Slamtype (drop-down)</t>
  </si>
  <si>
    <t>Købt fuelolie</t>
  </si>
  <si>
    <t>fuelolie</t>
  </si>
  <si>
    <t>Andel af råolie- og olieprodukter til opvarmning, der er fuelolie</t>
  </si>
  <si>
    <t>Skov "&lt;" 10 år</t>
  </si>
  <si>
    <t>Skov "&gt;= "10 år</t>
  </si>
  <si>
    <t>Ekstern varmepumpe</t>
  </si>
  <si>
    <t>Total (uden ekstern varmepumpe))</t>
  </si>
  <si>
    <t xml:space="preserve">Angiv samlet årlig vandmængde ind på egne værker, gennemsnitlig metankoncentration i råvand samt eventuel fjernelsesgrad af metan, hvis der er opsat filtre ol. på afkastluften. Indtast for 2023 samt forventninger til 2025, 2030 og 2025 </t>
  </si>
  <si>
    <t xml:space="preserve">Hvis drikkevand og spildevand anvender samme biler fordeles brændstof efter fordelingsnøgle. </t>
  </si>
  <si>
    <t xml:space="preserve">Angiv tons af oftest anvendte kemikalier/forbrugsstoffer til drikkevandsproduktion  i 2023 samt forventninger til 2025, 2030 og 2035. F.eks pH justering, aktivit kulfilter ved vandbehandling, luftrensning eller blødgøringsanlæg. </t>
  </si>
  <si>
    <r>
      <t>Angiv s</t>
    </r>
    <r>
      <rPr>
        <b/>
        <u/>
        <sz val="12"/>
        <color rgb="FFFF0000"/>
        <rFont val="Calibri"/>
        <family val="2"/>
        <scheme val="minor"/>
      </rPr>
      <t>amlet emission i kg CO2e/år i kolonne F-I.</t>
    </r>
    <r>
      <rPr>
        <b/>
        <sz val="12"/>
        <color rgb="FFFF0000"/>
        <rFont val="Calibri"/>
        <family val="2"/>
        <scheme val="minor"/>
      </rPr>
      <t xml:space="preserve"> Angiv emissionsfaktor i kolonne J-M og enheden på emissionsfaktoren i kolonne N. Angiv tiltag i kommentarfeltet i kolonne O.</t>
    </r>
  </si>
  <si>
    <t xml:space="preserve">Købt el til drift af drikkevandsselskabets varmepumper indgår allerede i købt el. </t>
  </si>
  <si>
    <t>Angiv CO2-reducerende tiltag for 2023 samt forventninger til 2025, 2030 og 2035. CO2-reducerende tiltag reducerer CO2-udledninger andetsteds. F.eks. ved blødgøring. Effekten skal kunne dokumenteres</t>
  </si>
  <si>
    <t>Angiv CO2-reducerende tiltag for 2023 samt forventninger til 2025, 2030 og 2035. CO2-reducerende tiltag reducerer CO2-udledninger andetsteds. Effekten skal kunne dokumenteres.</t>
  </si>
  <si>
    <t>Angiv CO2-fjernende tiltag for 2023 samt forventninger til 2025, 2030 og 2035. CO2-fjernende tiltag fjerner CO2 fra atomosfæren f.eks. ved lagring. Effekten skal kunne dokumenteres.</t>
  </si>
  <si>
    <t>Angiv CO2-reducerende tiltag for 2023 samt forventninger til 2025, 2030 og 2035. CO2-reducerende tiltag reducerer CO2-udledninger andetsteds. Effekten skal kunne dokumenteres</t>
  </si>
  <si>
    <t xml:space="preserve">Angiv lokal fjernvarmeemissionsfaktor, og emisisonsfaktor for eventuelt fossilt brændsel ink. kul i kolonne J  [kg CO2e/kWh]. </t>
  </si>
  <si>
    <t>Eventuel kommentar</t>
  </si>
  <si>
    <r>
      <rPr>
        <u/>
        <sz val="12"/>
        <color theme="1"/>
        <rFont val="Calibri"/>
        <family val="2"/>
        <scheme val="minor"/>
      </rPr>
      <t xml:space="preserve">Kollone F-I: </t>
    </r>
    <r>
      <rPr>
        <sz val="12"/>
        <color theme="1"/>
        <rFont val="Calibri"/>
        <family val="2"/>
        <scheme val="minor"/>
      </rPr>
      <t xml:space="preserve">standard emisisonsfaktor i %. 0,84 % indtil 2025 og derefter 0,56 % (forventet effekt af kommende regulering). </t>
    </r>
    <r>
      <rPr>
        <u/>
        <sz val="12"/>
        <color theme="1"/>
        <rFont val="Calibri"/>
        <family val="2"/>
        <scheme val="minor"/>
      </rPr>
      <t xml:space="preserve">Kolonne J-M: </t>
    </r>
    <r>
      <rPr>
        <sz val="12"/>
        <color theme="1"/>
        <rFont val="Calibri"/>
        <family val="2"/>
        <scheme val="minor"/>
      </rPr>
      <t>standard emissionsfaktor omregnet til kg CO2e/kg TN ind.</t>
    </r>
  </si>
  <si>
    <t>National faktor fra nationalregnskab. Kan ikke ændres</t>
  </si>
  <si>
    <t xml:space="preserve">Kolonne F-I: standard emissionsfaktor i %. 6,9% i indtil 2025 og derefter 1% (forventet effekt af forbedringer). Kolonne J-M: standard emissionsfaktor omregnet til kg CO2e/kg Nm3 CH4. </t>
  </si>
  <si>
    <t xml:space="preserve">             National faktor for fjernvarme i 2023, hvis lokalfaktor ikke haves:</t>
  </si>
  <si>
    <t>landbrug</t>
  </si>
  <si>
    <t>deponi</t>
  </si>
  <si>
    <t>anden udnyttelse</t>
  </si>
  <si>
    <t>Struvit</t>
  </si>
  <si>
    <t xml:space="preserve">Ungået emission fra substitution af handelsgødning med struvit. Angiv den samlede årlige mængde undgået CO2.  </t>
  </si>
  <si>
    <t xml:space="preserve">Undgået emisison. Har selskabet udvundet fosfor, der ligger på lager, og som nu tages i brug som gødningssubstitution kan den undgåede CO2 angives her.  </t>
  </si>
  <si>
    <t>N2O fra luftningstanke (standard emissionsfaktor)</t>
  </si>
  <si>
    <t>CH4 fra biogasanlæg (standard emissionsfaktor)</t>
  </si>
  <si>
    <t xml:space="preserve">Angiv købt el i kWh/år for 2023 samt forventninger til 2025, 2030 og 2035. Købt el til drift af egne varmepumper indgår også i købt el. </t>
  </si>
  <si>
    <t xml:space="preserve">Angiv tons af oftest anvendte kemikalier/forbrugsstoffer til spildevandsrensning  i 2023 samt forventninger til 2025, 2030 og 2035. F.eks. ekstern karbonkilde, flokkulanter og aktivit karbon. </t>
  </si>
  <si>
    <t>Se vejledning afsnit 4.1.1.2</t>
  </si>
  <si>
    <t>Se vejledning afsnit 4.3.1.3</t>
  </si>
  <si>
    <t>Hvis ”Ja” til målsætning for klimaneutralitet for hele selskabet (drikkevand og spildevand) – hvilket år?</t>
  </si>
  <si>
    <t>Hvis ”Ja” til målsætning for energineutralitet for selskabet (drikkevand og spildevand) – hvilket år?</t>
  </si>
  <si>
    <t>Opstrøms emissioner fra fremstilling af brændsler samt emissioner fra energitab</t>
  </si>
  <si>
    <t>N2O fra luftningstanke (evt. lokal emissionsfaktor)</t>
  </si>
  <si>
    <t>CH4 fra biogasanlæg (evt. lokal emissionsfaktor)</t>
  </si>
  <si>
    <t>Emissioner med standard faktorer, kg CO2e, UDEN ekstern varmepumpe</t>
  </si>
  <si>
    <t>Scope 1 total (standard faktor)</t>
  </si>
  <si>
    <t>Total (standard emissionsfaktor)</t>
  </si>
  <si>
    <t>Udnyttelse af tidligere udvundet fosfor</t>
  </si>
  <si>
    <t>Opstrøms emissioner fra fremstilling af brændsler til driftsbiler</t>
  </si>
  <si>
    <t>Opstrøms emissioner fra fremstilling af brændsler og energitab: el</t>
  </si>
  <si>
    <t>Opstrøms emissioner fra fremstilling af brændsler og energitab: fjernvarme</t>
  </si>
  <si>
    <t>Opstrøms emissioner fra fremstilling af brændsler til opvarmning</t>
  </si>
  <si>
    <t>Vægtet gennemsnitlig metankoncentration i råvand</t>
  </si>
  <si>
    <t>Vægtet gennemsnitlig fjernelsesgrad af metan</t>
  </si>
  <si>
    <t>Vandmængde med metan under detektionsgrænse eller ubetydelig</t>
  </si>
  <si>
    <t xml:space="preserve">Indtast den samlede mængde råvand fra alle boringer/værker, der har metan under detektionsgrænsen "&lt;" eller risikovurdering vurderer metan er ubetydelig. </t>
  </si>
  <si>
    <t>Koncentration sat til 0 mg/L</t>
  </si>
  <si>
    <t>Vandmængde: metan koncentration 1</t>
  </si>
  <si>
    <t>Indtast den samlede mængde råvand, der har metankoncentration 1</t>
  </si>
  <si>
    <t>koncentration 1</t>
  </si>
  <si>
    <t>Indtast koncentrationen</t>
  </si>
  <si>
    <t>evt. fjernelsesgrad</t>
  </si>
  <si>
    <t xml:space="preserve">Indtast eventuel fjernelsesgrad af metan. F.eks. i et filter. </t>
  </si>
  <si>
    <t>Vandmængde: metan koncentration 2</t>
  </si>
  <si>
    <t>Indtast den samlede mængde råvand, der har metankoncentration 2</t>
  </si>
  <si>
    <t>koncentration 2</t>
  </si>
  <si>
    <t>Vandmængde: metan koncentration 3</t>
  </si>
  <si>
    <t>Indtast den samlede mængde råvand, der har metankoncentration 3</t>
  </si>
  <si>
    <t>koncentration 3</t>
  </si>
  <si>
    <t>Vandmængde: metan koncentration 4</t>
  </si>
  <si>
    <t>Indtast den samlede mængde råvand, der har metankoncentration 4</t>
  </si>
  <si>
    <t>koncentration 4</t>
  </si>
  <si>
    <t>Vandmængde: metan koncentration 5</t>
  </si>
  <si>
    <t>Indtast den samlede mængde råvand, der har metankoncentration 5</t>
  </si>
  <si>
    <t>koncentration 5</t>
  </si>
  <si>
    <t>Vandmængde: metan koncentration 6</t>
  </si>
  <si>
    <t>Indtast den samlede mængde råvand, der har metankoncentration 6</t>
  </si>
  <si>
    <t>koncentration 6</t>
  </si>
  <si>
    <t>Vandmængde: metan koncentration 7</t>
  </si>
  <si>
    <t>Indtast den samlede mængde råvand, der har metankoncentration 7</t>
  </si>
  <si>
    <t>koncentration 7</t>
  </si>
  <si>
    <t>Vandmængde: metan koncentration 8</t>
  </si>
  <si>
    <t>Indtast den samlede mængde råvand, der har metankoncentration 8</t>
  </si>
  <si>
    <t>koncentration 8</t>
  </si>
  <si>
    <t>Vandmængde: metan koncentration 9</t>
  </si>
  <si>
    <t>Indtast den samlede mængde råvand, der har metankoncentration 9</t>
  </si>
  <si>
    <t>koncentration 9</t>
  </si>
  <si>
    <t>Vandmængde: metan koncentration 10</t>
  </si>
  <si>
    <t>Indtast den samlede mængde råvand, der har metankoncentration 10</t>
  </si>
  <si>
    <t>koncentration 10</t>
  </si>
  <si>
    <t>N2O fra luftningstanke - vægtet gennemsnitlig emissionsfaktor</t>
  </si>
  <si>
    <t>CH4 fra biogasanlæg - vægtet gennemsnitlig emissionsfaktor</t>
  </si>
  <si>
    <t>Vægtet gennemsnitlig lokal emissionsfaktor</t>
  </si>
  <si>
    <t>emissionsfaktor (standard)</t>
  </si>
  <si>
    <t>lokal emissionsfaktor 1</t>
  </si>
  <si>
    <t>lokal emissionsfaktor 2</t>
  </si>
  <si>
    <t>lokal emissionsfaktor 3</t>
  </si>
  <si>
    <t>lokal emissionsfaktor 4</t>
  </si>
  <si>
    <t>lokal emissionsfaktor 5</t>
  </si>
  <si>
    <t xml:space="preserve">Sum af årlig kvælstofbelastning på alle selskabets renseanlæg, der ikke har en lokal bestemt emisisonsfaktor.  </t>
  </si>
  <si>
    <t>Standard emisisonsfaktor i %. 0,84 % indtil 2025 og derefter 0,56 %.</t>
  </si>
  <si>
    <t xml:space="preserve">Sum af årlig kvælstofbelastning i tilløb til alle selskabets renseanlæg. Tal for 2023 er opgjort af DANVA på baggrund af PULS. </t>
  </si>
  <si>
    <t>Årlig kvælstofbelastning  i tilløb til renseanlæg 1 med lokal bestemt emissionsfaktor</t>
  </si>
  <si>
    <t>Årlig kvælstofbelastning  i tilløb til renseanlæg 2 med lokal bestemt emissionsfaktor</t>
  </si>
  <si>
    <t>Årlig kvælstofbelastning  i tilløb til renseanlæg 3 med lokal bestemt emissionsfaktor</t>
  </si>
  <si>
    <t>Årlig kvælstofbelastning  i tilløb til renseanlæg 4 med lokal bestemt emissionsfaktor</t>
  </si>
  <si>
    <t>Årlig kvælstofbelastning  i tilløb til renseanlæg 5 med lokal bestemt emissionsfaktor</t>
  </si>
  <si>
    <t>Indtast lokal bestemt emissionsfaktor som angivet på dokumentation. Angiv i % N2O-N/TN_tilløb</t>
  </si>
  <si>
    <t>Kvælstofbelastning til renseanlæg uden lokal bestemt emissionsfaktor</t>
  </si>
  <si>
    <t>Kvælstofbelastning til renseanlæg 1 med lokal bestemt emissionsfaktor</t>
  </si>
  <si>
    <t>Kvælstofbelastning til renseanlæg 2 med lokal bestemt emissionsfaktor</t>
  </si>
  <si>
    <t>Kvælstofbelastning til renseanlæg 3 med lokal bestemt emissionsfaktor</t>
  </si>
  <si>
    <t>Kvælstofbelastning til renseanlæg 4 med lokal bestemt emissionsfaktor</t>
  </si>
  <si>
    <t>Sum af årlig producerede mængde biogas</t>
  </si>
  <si>
    <t>Biogasproduktion fra renseanlæg uden lokal bestemt emissionsfaktor</t>
  </si>
  <si>
    <t>Biogasproduktion fra renseanlæg 1 med lokal bestemt emissionsfaktor</t>
  </si>
  <si>
    <t>Biogasproduktion fra renseanlæg 2 med lokal bestemt emissionsfaktor</t>
  </si>
  <si>
    <t>Biogasproduktion fra renseanlæg 3 med lokal bestemt emissionsfaktor</t>
  </si>
  <si>
    <t>Biogasproduktion fra renseanlæg 4  med lokal bestemt emissionsfaktor</t>
  </si>
  <si>
    <t>Biogasproduktion fra renseanlæg 5 med lokal bestemt emissionsfaktor</t>
  </si>
  <si>
    <t>Standard emissionsfaktor i %. 6,9% indtil 2025 og derefter 1%.</t>
  </si>
  <si>
    <t xml:space="preserve">Fjernet emission. CO2 optaget på grund af optagelse i biomasse gennem fotosynte. Angiv den samlede årlige mængde fjernet CO2 under årstallene og angiv EF. OBS angiv  EF med negativt fortegn.  </t>
  </si>
  <si>
    <t>Scope 1 total (lokal emissionsfaktor)</t>
  </si>
  <si>
    <t>Basisoplysning - debiteret vandmængde</t>
  </si>
  <si>
    <t>Debiteret vandmængde</t>
  </si>
  <si>
    <t>Skønnet udvikling i fremtidige vandmængder i forsyningsområdet</t>
  </si>
  <si>
    <t>Debiteret drikkevandsmængde</t>
  </si>
  <si>
    <t>I bedes udelukkende forholde jer til udviklingen i de nuværende foryningsområde, og derfor se bort fra eventuelle fremtidige fusioner.</t>
  </si>
  <si>
    <t>Egenproduceret energi anvendt internt</t>
  </si>
  <si>
    <t>Egenproduceret varme anvendt internt</t>
  </si>
  <si>
    <t>Egenproduceret el anvendt internt</t>
  </si>
  <si>
    <t>ikke relevant</t>
  </si>
  <si>
    <t>Samlet egenproduceret el anvendt internt af drikkevandsselskabet. Tal for 2023 stammer fra PBM. El genereret på baggrund af vind, sol eller lignede, som er ejet 
og drevet af vandselskabet og placeret i forbindelse med selskabet.</t>
  </si>
  <si>
    <t>Samlet egenproduceret varme anvendt internt af drikkevandsselskabet. Tal for 2023 stammer fra PBM. Varme genereret på baggrund af solvarmeanlæg, små varmepumper anvendt til bygningsopvarmning samt store varmepumper  i drikkevandssytemet.</t>
  </si>
  <si>
    <t>Tillægsspørgsmål omkring varme og el til beregning af energiperformance</t>
  </si>
  <si>
    <t>Angiv egenproduceret varme og el anvendt internet kWh/år for 2023 samt forventninger til 2025, 2030 og 2035.</t>
  </si>
  <si>
    <t xml:space="preserve">OBS! Posten indgår ikke i hverken Parismodellens scope 1, 2 eller 3 og anvendes ikke til at beregne klimabelastningen, men anvendes udelukkende til at beregne energiperformance. </t>
  </si>
  <si>
    <r>
      <rPr>
        <u/>
        <sz val="12"/>
        <color theme="1"/>
        <rFont val="Calibri"/>
        <family val="2"/>
        <scheme val="minor"/>
      </rPr>
      <t>Kolonne F-I:</t>
    </r>
    <r>
      <rPr>
        <sz val="12"/>
        <color theme="1"/>
        <rFont val="Calibri"/>
        <family val="2"/>
        <scheme val="minor"/>
      </rPr>
      <t xml:space="preserve"> Angiv lokal bestemt EF (vægtet gennemsnit) i grønne felter.  Angiv i % N2O-N/TN_tilløb. </t>
    </r>
    <r>
      <rPr>
        <b/>
        <sz val="12"/>
        <color theme="1"/>
        <rFont val="Calibri"/>
        <family val="2"/>
        <scheme val="minor"/>
      </rPr>
      <t>Se fanen "hjælp" for beregning af vægtet gennemsnit.</t>
    </r>
    <r>
      <rPr>
        <sz val="12"/>
        <color theme="1"/>
        <rFont val="Calibri"/>
        <family val="2"/>
        <scheme val="minor"/>
      </rPr>
      <t xml:space="preserve"> </t>
    </r>
    <r>
      <rPr>
        <u/>
        <sz val="12"/>
        <color theme="1"/>
        <rFont val="Calibri"/>
        <family val="2"/>
        <scheme val="minor"/>
      </rPr>
      <t>Kolonne J-M</t>
    </r>
    <r>
      <rPr>
        <sz val="12"/>
        <color theme="1"/>
        <rFont val="Calibri"/>
        <family val="2"/>
        <scheme val="minor"/>
      </rPr>
      <t>: lokal bestemet emissionsfaktor omregnet til kg CO2/kg TN i tilløb.</t>
    </r>
  </si>
  <si>
    <r>
      <t>Angiv lokal bestemt EF (vægtet gennemsnit) i grønne felter. Angiv % CH4 lækage/CH4 produceret.</t>
    </r>
    <r>
      <rPr>
        <b/>
        <sz val="12"/>
        <color theme="1"/>
        <rFont val="Calibri"/>
        <family val="2"/>
        <scheme val="minor"/>
      </rPr>
      <t xml:space="preserve"> Se fanen "hjælp" for beregning af vægtet gennemsnit.</t>
    </r>
    <r>
      <rPr>
        <sz val="12"/>
        <color theme="1"/>
        <rFont val="Calibri"/>
        <family val="2"/>
        <scheme val="minor"/>
      </rPr>
      <t xml:space="preserve"> I kolonne J-M er EF angivet i kg CO2e/Nm3 CH4 produceret. </t>
    </r>
  </si>
  <si>
    <t xml:space="preserve">OBS! Der skelnes ikke mellem afløb og rensning i anvendelse af driftsbiler. Det antages at det meste driftskørsel er relateret til afløb, og derfor tilskrives emissionen til afløbssiden. </t>
  </si>
  <si>
    <t xml:space="preserve">OBS! Rene renseselskaber (BIOFOS Avedøre, BIOFOS Lynetteselskabet, Mølleåværket og Novafos Måløv) skal udfylde her. Resten af selskaberne skal udfylde under fanen "afløb", da der ikke skelnes mellem afløb og rensning i anvendelse af driftsbiler. Det antages at det meste driftskørsel er relateret til afløb, og derfor tilskrives emissionen til afløbssiden. </t>
  </si>
  <si>
    <t>Angiv selv</t>
  </si>
  <si>
    <t>Emissionerne er fordelt ud mellem scope 1 og 3 afhængig af, hvilken slamtype, der vælges</t>
  </si>
  <si>
    <t xml:space="preserve">Indtastes under scope 3 "slamlagring og behandling" for at holde slam samlet. </t>
  </si>
  <si>
    <t>Intern slamlagring og slambehandling</t>
  </si>
  <si>
    <t>Slamlagring og -behandling (her angives både intern og ekstern slamlagring og behandling)</t>
  </si>
  <si>
    <t>Samlet egenproduceret varme anvendt internt af  spildevandsselskabet (transport). Tal for 2023 stammer fra PBM. Varme genereret på baggrund af solvarmeanlæg, små varmepumper anvendt til bygningsopvarmning.</t>
  </si>
  <si>
    <t>Samlet egenproduceret el anvendt internt af spildevandsselskabet (transport). Tal for 2023 stammer fra PBM. El genereret på baggrund af vind, sol eller lignede, som er ejet 
og drevet af spildevandsselskabet (transport) og placeret i forbindelse med selskabet.</t>
  </si>
  <si>
    <t>Samlet egenproduceret varme anvendt internt af spildevandsselskabet. Tal for 2023 stammer fra PBM. Varme genereret på baggrund af solvarmeanlæg, små varmepumper  til bygningsopvarmning samt store varmepumper  i udløb fra RA.</t>
  </si>
  <si>
    <t>Samlet egenproduceret el anvendt internt af spildevandsselskabet (rensning). Tal for 2023 stammer fra PBM. El genereret på baggrund af vind, sol eller lignede, som er ejet og drevet af spildevandselskabet (rensning) og placeret ifm. selskabet.</t>
  </si>
  <si>
    <t>2. Kommentarer og bemærkninger</t>
  </si>
  <si>
    <t>Kommentar til målsætning om klimaneutralitet (link gerne til strategi)</t>
  </si>
  <si>
    <t>Kommentar til målsætning om energineutralitet (link gerne til strategi)</t>
  </si>
  <si>
    <t>Konvertering GJ to kWh</t>
  </si>
  <si>
    <t>kWh/GJ</t>
  </si>
  <si>
    <t xml:space="preserve">Købt el. Der medtages selskabets andel af el ved fællesfaciliteter. </t>
  </si>
  <si>
    <t xml:space="preserve">Købt fjernvarme. Der medtages selskabets andel af fjernvarme ved fællesfaciliteter. </t>
  </si>
  <si>
    <t>Omregning af købte energi til kWh</t>
  </si>
  <si>
    <t>Vælg enhed nedenfor (dropdown)</t>
  </si>
  <si>
    <t>ENHEDSOMREGNER - FJERNVARME, EL og BRÆNDSLER</t>
  </si>
  <si>
    <t>DRIKKEVAND - BEREGNINGSHJÆLP TIL VÆGTET GENNEMSNITLIG METANKONCENTRATION</t>
  </si>
  <si>
    <t>SPILDEVAND - RENSEANLÆG - BEREGNINGSHJÆLP TIL VÆGTET GENNEMSNITLIG EMISSIONSFAKTOR FOR N2O FRA LUFTNINGSTANKE</t>
  </si>
  <si>
    <t>SPILDEVAND - RENSEANLÆG -  BEREGNINGSHJÆLP TIL VÆGTET GENNEMSNITLIG EMISSIONSFAKTOR FOR CH4 FRA BIOGASANLÆG</t>
  </si>
  <si>
    <t>Klik på plus til venstre for række 29 for at få vist enhedsomregneren</t>
  </si>
  <si>
    <t>Klik på plus til venstre for række 73 for at få vist beregningshjælp til vægtet gennemsnitlig metankoncentration</t>
  </si>
  <si>
    <t>Klik på plus til venstre for række 95 for at få vist beregningshjælp til vægtet gennemsnitlig emissionsfaktor for N2O fra luftningstanke</t>
  </si>
  <si>
    <t>Klik på plus til venstre for række 117 for at få vist beregningshjælp til vægtet gennemsnitlig emissionsfaktor for metan fra biogasanlæg</t>
  </si>
  <si>
    <t xml:space="preserve">Kopier resultat fra række 35 og 36 til fanen "Drikkevand". Husk at indsætte tal i stedet for formler. Brug genvej shift + ctrl + v. </t>
  </si>
  <si>
    <t xml:space="preserve">Fordel samlet årlig vandmængde mellem eventuelt forskellige metankkoncentrationer og fjernelsesgrader (række 39-70) for at få beregnet vægtet gennemsnit i række 35 og 36. Angiv tal for 2023 samt forventninger til 2025, 2030 og 2035. </t>
  </si>
  <si>
    <t>Angiv købt fjernvarme, el og brændsel i 2023 og forventninger til 2025, 2030 og 2025 i kolonne  F-I. Vælg enhed fra dropdown i kolonne E og se resultat i kWh/år i kolonne K-N</t>
  </si>
  <si>
    <t>Kopier resultater i kWh/år fra kolonne K-N til indberetningsark. Husk, at indsætte tal i stedet for formler. Brug genvej shift + ctrl + v.</t>
  </si>
  <si>
    <r>
      <t>Udfyld nedenfor og</t>
    </r>
    <r>
      <rPr>
        <b/>
        <sz val="12"/>
        <color theme="1" tint="4.9989318521683403E-2"/>
        <rFont val="Calibri"/>
        <family val="2"/>
        <scheme val="minor"/>
      </rPr>
      <t xml:space="preserve"> kopier resultat til fanen "Drikkevand" række 48</t>
    </r>
    <r>
      <rPr>
        <sz val="12"/>
        <color theme="1" tint="4.9989318521683403E-2"/>
        <rFont val="Calibri"/>
        <family val="2"/>
        <scheme val="minor"/>
      </rPr>
      <t>. Husk at indsætte som tal, og ikke som formel (brug genvej shift + ctrl + v)</t>
    </r>
  </si>
  <si>
    <r>
      <t>Udfyld nedenfor og k</t>
    </r>
    <r>
      <rPr>
        <b/>
        <sz val="12"/>
        <color theme="1" tint="4.9989318521683403E-2"/>
        <rFont val="Calibri"/>
        <family val="2"/>
        <scheme val="minor"/>
      </rPr>
      <t>opier resultat til fanen "Drikkevand" række 49</t>
    </r>
    <r>
      <rPr>
        <sz val="12"/>
        <color theme="1" tint="4.9989318521683403E-2"/>
        <rFont val="Calibri"/>
        <family val="2"/>
        <scheme val="minor"/>
      </rPr>
      <t>. Husk at indsætte som tal, og ikke som formel (brug genvej shift + ctrl + v)</t>
    </r>
  </si>
  <si>
    <t xml:space="preserve">Den vandmængde, der behandles af vandselskabet. Sum af vand fra egne boringer + eventuelt importeret råvand - eventuelt eksporteret råvand. Fordel på nedenstående vandmængder. </t>
  </si>
  <si>
    <t>Ingen metan i råvand</t>
  </si>
  <si>
    <t xml:space="preserve">Kopier resultat fra række 79 til fanen "renseanlæg". Husk at indsætte tal i stedet for formler. Brug genvej shift + ctrl + v. </t>
  </si>
  <si>
    <t xml:space="preserve">Angiv samlet kvælstofbelastning til samtlige renseanlæg uden en lokal bestemt emissionsfaktor i række 82. Angiv kvælstofbelastning til renseanlæg 1-5 med lokal bestemte emissionsfaktorer i de efterfølgende rækker. </t>
  </si>
  <si>
    <t>Kvælstofbelastning til renseanlæg 5 med lokal bestemt emissionsfaktor</t>
  </si>
  <si>
    <t xml:space="preserve">Kopier resultat fra række 101 til fanen "renseanlæg". Husk at indsætte tal i stedet for formler. Brug genvej shift + ctrl + v. </t>
  </si>
  <si>
    <t xml:space="preserve">Angiv samlet produceret biogas fra samtlige renseanlæg uden en lokal bestemt emissionsfaktor i række 104. Angiv biogasproduktion fra renseanlæg 1-5 med lokal bestemte emissionsfaktorer i de efterfølgende rækker. </t>
  </si>
  <si>
    <t xml:space="preserve">Årlig kvælstofbelastning  i tilløb til renseanlæg 1 med lokal bestemt emissionsfaktor. Delmængde af række 80. </t>
  </si>
  <si>
    <t xml:space="preserve">Årlig kvælstofbelastning  i tilløb til renseanlæg 2 med lokal bestemt emissionsfaktor. Delmængde af række 80. </t>
  </si>
  <si>
    <t xml:space="preserve">Årlig kvælstofbelastning  i tilløb til renseanlæg 3 med lokal bestemt emissionsfaktor. Delmængde af række 80. </t>
  </si>
  <si>
    <t xml:space="preserve">Årlig kvælstofbelastning  i tilløb til renseanlæg 4 med lokal bestemt emissionsfaktor. Delmængde af række 80. </t>
  </si>
  <si>
    <t xml:space="preserve">Årlig kvælstofbelastning  i tilløb til renseanlæg 5 med lokal bestemt emissionsfaktor. Delmængde af række 80. </t>
  </si>
  <si>
    <t>Indtast lokal bestemt emissionsfaktor som angivet på dokumentation. Angiv i % (kg CH4/kg CH4 produceret)</t>
  </si>
  <si>
    <r>
      <t>Udfyld nedenfor og</t>
    </r>
    <r>
      <rPr>
        <b/>
        <sz val="12"/>
        <color theme="1" tint="4.9989318521683403E-2"/>
        <rFont val="Calibri"/>
        <family val="2"/>
        <scheme val="minor"/>
      </rPr>
      <t xml:space="preserve"> kopier resultat til fanen "Renseanlæg" kolonne 55</t>
    </r>
    <r>
      <rPr>
        <sz val="12"/>
        <color theme="1" tint="4.9989318521683403E-2"/>
        <rFont val="Calibri"/>
        <family val="2"/>
        <scheme val="minor"/>
      </rPr>
      <t>. Husk at indsætte som tal, og ikke som formel (brug genvej shift + ctrl + v)</t>
    </r>
  </si>
  <si>
    <r>
      <t>Udfyld nedenfor og</t>
    </r>
    <r>
      <rPr>
        <b/>
        <sz val="12"/>
        <color theme="1" tint="4.9989318521683403E-2"/>
        <rFont val="Calibri"/>
        <family val="2"/>
        <scheme val="minor"/>
      </rPr>
      <t xml:space="preserve"> kopier resultat til fanen "Renseanlæg" kolonne 64</t>
    </r>
    <r>
      <rPr>
        <sz val="12"/>
        <color theme="1" tint="4.9989318521683403E-2"/>
        <rFont val="Calibri"/>
        <family val="2"/>
        <scheme val="minor"/>
      </rPr>
      <t>. Husk at indsætte som tal, og ikke som formel (brug genvej shift + ctrl + v)</t>
    </r>
  </si>
  <si>
    <t>Vægtet lokal bestemt metan emissionsfaktor</t>
  </si>
  <si>
    <t>Vægtet lokal bestemt lattergas emissionsfaktor fra luftningstanke</t>
  </si>
  <si>
    <t xml:space="preserve">Angiv købt brændsel og købt fjernvarme i 2023 og forventninger til 2025, 2030 og 2025 [kWh/år] i kolonne  F-I. Se fanen "hjælp" for omregning fra forskellige enheder til kWh. </t>
  </si>
  <si>
    <t>Vælg enhed (dropdown)</t>
  </si>
  <si>
    <t>Se fanen "hjælp" for hjælp til beregning af gennemsnitlig vægtet metankoncentration</t>
  </si>
  <si>
    <t>Vælg fra dropdown eller angiv selv kemikalie fra række 99 i kolonne O og emissionsfaktor i kolonne J.</t>
  </si>
  <si>
    <t>Har selskabet en målsætning for, hvornår det skal være klimaneutralt? (anvend egen defintion af klimaneutralitet) (vælg fra drop-down)</t>
  </si>
  <si>
    <t>Skøn over fremtidig debiteret vandmængde. Der henvises til befolkningsudviklingen i kommunen (se vejledning Afsnit 2)</t>
  </si>
  <si>
    <t>Skøn over fremtidig debiteret vandmængde i kloaklandetsopland. Der henvises til befolkningsudviklingen i kommunen (se vejledning Afsnit 2)</t>
  </si>
  <si>
    <t xml:space="preserve">Opstrøms emissioner (well-to-tank) fra produktion af brændsler og brændsler til el og fjernvarme samt distributions- og transmissionstab fra el og fjernvarmenettet. </t>
  </si>
  <si>
    <t>ikke relevant for overkategori</t>
  </si>
  <si>
    <t>ikke relevant - anvendes kun til opgørelse af energiperformance</t>
  </si>
  <si>
    <t>Konverteringsfaktor lattergas nationalregnskab</t>
  </si>
  <si>
    <t>*Spørg fjernvarme eller slå op i vedlagte excel "ENS-data om fjernvarme 125pct metode"</t>
  </si>
  <si>
    <t>Produceret metan, volumen. Antagelse om 65% metan i biogas. Har selskabet egen metanmålere kan biogasproduktionen regnes som metanproduktion / 0,68</t>
  </si>
  <si>
    <t>Angiv her andre CO2 fjernende tiltag. Angiv den samlede årlige mængde fjernet CO2. Tiltagene må ikke indgå indirekte i andre poster (f.eks. mindre udvedkommende vand, som bør indgå i fremskrivning af købt el)</t>
  </si>
  <si>
    <t>Angiv her andre CO2 reducerende tiltag. Angiv den samlede årlige mængde undgået CO2. Tiltagene må ikke indgå indirekte i andre poster (f.eks. mindre beluftning, som bør indgå i fremskrivning af købt el)</t>
  </si>
  <si>
    <t>Angiv her andre CO2 reducerende tiltag. Angiv den samlede årlige mængde undgået CO2.  Tiltagene må ikke indgå indirekte i andre poster (f.eks. omlægning fra naturgas, som bør indgå i fremskrivning af købt fjernvarme/brændsel)</t>
  </si>
  <si>
    <t>Debiteret vandmængde i kloaksystemets opland</t>
  </si>
  <si>
    <t>se nedenfor</t>
  </si>
  <si>
    <t>MK8032</t>
  </si>
  <si>
    <t>MK8232</t>
  </si>
  <si>
    <t xml:space="preserve">Elproduktion i form af solceller vindmøller og lignende, som drives af og er placeret i forbindelse med drikkevandsproduktionen.  Egenproduceret el anvendt internt er el, der er produceret og anvendt af selskabet uden, at det har været afregnet med elselskabet.   OBS: Her indgår ikke internt forbrugt el, der har været igennem en intern afregningsmåler, der afregnes med el-selskabet. Det betragtes som en solgt mængde, der genkøbes og skal registreres under både købt el og solgt el.   Anfør gerne i beskedfeltet hvilken type elproduktion det er. </t>
  </si>
  <si>
    <t>Her indgår bl.a. varme fra solvarmeanlæg og, hvis det kan opgøres, varme fra små varmepumper anvendt til bygningsopvarmning. Egenproduceret varme indeholder også eventuelt store varmepumper, der er ejet af  vandselskabet og som trækker energi ud af vandet.   Egenproduceret varme anvendt internt er varme anvendt på drikkevandsselskabets faciliteter.   Der angives den mængde som er anvendt på selskabets anlæg uden at være tilført fjernvarmenet eller tilsvarende.</t>
  </si>
  <si>
    <t>,=IF(INDEX(rDV!$E$10:$V$241;MATCH('Data DV'!$A5;rDV!$B$10:$B$241;0);MATCH('Data DV'!C$4;rDV!$E$4:$V$4;0))="";"";INDEX(rDV!$E$10:$V$241;MATCH('Data DV'!$A5;rDV!$B$10:$B$241;0);MATCH('Data DV'!C$4;rDV!$E$4:$V$4;0)))</t>
  </si>
  <si>
    <t>,=IF(ISNUMBER(INDEX(rDV!$E$10:$V$241;MATCH('Data DV'!$A5;rDV!$B$10:$B$241;0);MATCH('Data DV'!D$4;rDV!$E$4:$V$4;0)));INDEX(rDV!$E$10:$V$241;MATCH('Data DV'!$A5;rDV!$B$10:$B$241;0);MATCH('Data DV'!D$4;rDV!$E$4:$V$4;0));IF(INDEX(rDV!$E$10:$V$241;MATCH($A5;rDV!$B$10:$B$241;0);MATCH("MK8200";rDV!$E$4:$V$4;0))="";"";INDEX(rDV!$E$10:$V$241;MATCH($A5;rDV!$B$10:$B$241;0);MATCH("MK8200";rDV!$E$4:$V$4;0))))</t>
  </si>
  <si>
    <t>MK2080</t>
  </si>
  <si>
    <t>MK2570</t>
  </si>
  <si>
    <t>MK4191</t>
  </si>
  <si>
    <t>MK4610</t>
  </si>
  <si>
    <t>Egenproduceret el anvendt internt (transport)</t>
  </si>
  <si>
    <t>Egenproduceret varme anvendt internt (transport)</t>
  </si>
  <si>
    <t>Egenproduceret el anvendt internt (rensning)</t>
  </si>
  <si>
    <t>Egenproduceret varme anvendt internt (rensning)</t>
  </si>
  <si>
    <t xml:space="preserve">Elproduktion i form af solceller vindmøller og lignende, som drives af og er placeret i forbindelse med transportnettet (f.eks. på pumpestationer).  Egenproduceret el anvendt internt er el, der er produceret og anvendt af selskabet uden, at det har været afregnet med elselskabet.   OBS: Her indgår ikke internt forbrugt el, der har været igennem en intern afregningsmåler, der afregnes med el-selskabet. Det betragtes som en solgt mængde, der genkøbes og skal registreres under både købt el og solgt el.   Anfør gerne i beskedfeltet hvilken type elproduktion det er. </t>
  </si>
  <si>
    <t>Her indgår bl.a. varme fra solvarmeanlæg og, hvis det kan opgøres, varme fra små varmepumper anvendt til bygningsopvarmning. Egenproduceret varme indeholder også eventuelt store varmepumper, der er ejet af vandselskabet og som trækker energi ud af vandet.   Egenproduceret varme anvendt internt på spildevandsselskabets (transport) faciliteter.   Der angives den mængde som er anvendt på selskabets anlæg uden at være tilført fjernvarmenet eller tilsvarende.</t>
  </si>
  <si>
    <t>Elproduktion fra primære aktiviteter og anden aktivitet, som anvendes internt. Det kan være fra biogasproduktion,  i form af solceller, vindmøller og lignende, som er placeret i forbindelse med renseanlægget.  Egenproduceret el anvendt internt er el, der er produceret og anvendt af selskabet uden, at det har været afregnet med elselskabet.   OBS: Her indgår ikke internt forbrugt el, der har været igennem en intern afregningsmåler, der afregnes med el-selskabet. Det betragtes som en solgt mængde, der genkøbes og skal registreres under både købt el og solgt el.   Anfør gerne i beskedfeltet hvilken type elproduktion det er.  MK4191 = MK4150 + MK4180  Tidligere MK4190</t>
  </si>
  <si>
    <t>Her indgår varme fra gasmotorer, solvarmeanlæg, og hvis det kan opgøres, varme fra små varmepumper anvendt til bygningsopvarmning. Egenproduceret varme indeholder også eventuelt store varmepumper, der er ejet af vandselskabet og som trækker energi ud af vandet.   Egenproduceret varme anvendt internt på spildevandsselskabets (rensnings) faciliteter.   Der angives den mængde som er anvendt på selskabets anlæg uden at være tilført fjernvarmenet eller tilsvarende.</t>
  </si>
  <si>
    <t>[MK4150:0]+[MK4180:0]</t>
  </si>
  <si>
    <t>Vælg selskab (dropdown)</t>
  </si>
  <si>
    <t>Vælg selskab (drop down)</t>
  </si>
  <si>
    <t>,=IF(INDEX(rSPV!$E$10:$AT$114;MATCH($A6;rSPV!$B$10:$B$114;0);MATCH(C$4;rSPV!$E$4:$AT$4;0))="";"";INDEX(rSPV!$E$10:$AT$114;MATCH($A6;rSPV!$B$10:$B$114;0);MATCH(C$4;rSPV!$E$4:$AT$4;0)))</t>
  </si>
  <si>
    <t>,=IF(ISNUMBER(INDEX(rSPV!$E$10:$AT$114;MATCH($A6;rSPV!$B$10:$B$114;0);MATCH(AE$4;rSPV!$E$4:$AT$4;0)));INDEX(rSPV!$E$10:$AT$114;MATCH($A6;rSPV!$B$10:$B$114;0);MATCH(AE$4;rSPV!$E$4:$AT$4;0));IF(INDEX(rSPV!$E$10:$AT$114;MATCH($A6;rSPV!$B$10:$B$114;0);MATCH("MK4500";rSPV!$E$4:$AT$4;0))="";"";INDEX(rSPV!$E$10:$AT$114;MATCH($A6;rSPV!$B$10:$B$114;0);MATCH("MK4500";rSPV!$E$4:$AT$4;0))))</t>
  </si>
  <si>
    <t>Debiteret vandmængde i renseanlæggenes opland</t>
  </si>
  <si>
    <t>Skøn over fremtidig debiteret vandmængde i renseanlæggenes opland. Der henvises til befolkningsudviklingen i kommunen (se vejledning Afsnit 2)</t>
  </si>
  <si>
    <t>Energiperformance: drikkevand, MWh</t>
  </si>
  <si>
    <t>Klimaaftryk: drikkevand, kg CO2e (UDEN ekstern varmepumpe)</t>
  </si>
  <si>
    <t>Købt energi</t>
  </si>
  <si>
    <t>Egenproduceret solgt energi</t>
  </si>
  <si>
    <t>Energiproduktion fra ekterne varmepumper</t>
  </si>
  <si>
    <t>Andre tiltag</t>
  </si>
  <si>
    <t xml:space="preserve">Overordnet klimaaftryk: drikkevand, kg CO2e </t>
  </si>
  <si>
    <t>Klimaaftryk: afløb/transport, kg CO2e</t>
  </si>
  <si>
    <t>Energiperformance: afløb/transport, MWh</t>
  </si>
  <si>
    <t>Egenforsyningsgrad  [%]</t>
  </si>
  <si>
    <t>Egenforsyningsgrad (uden ekstern varmepumpe) [%]</t>
  </si>
  <si>
    <t>Egenforsyningsgrad (med ekstern varmepumpe) [%]</t>
  </si>
  <si>
    <t>Overordnet klimaaftryk: afløb/transport, kg CO2e</t>
  </si>
  <si>
    <t>Overordnet klimaaftryk: renseanlæg, kg CO2e</t>
  </si>
  <si>
    <t>Klimaaftryk for renseanlæg, kg CO2e (UDEN ekstern varmepumpe). Der anvendes lokale emissionsfaktorer, hvis de er angivet.</t>
  </si>
  <si>
    <t>Energiperformance: renseanlæg, MWh</t>
  </si>
  <si>
    <t>Intern slamlagring og -behandling</t>
  </si>
  <si>
    <t>Driftsbiler (kun for rene renseselskaber)</t>
  </si>
  <si>
    <t>Ekstern slamlagring og -behandling</t>
  </si>
  <si>
    <t>Andre CO2-fjernede tiltag</t>
  </si>
  <si>
    <t>Solgt egenproduceret varme</t>
  </si>
  <si>
    <t>2035 Scope 2 [kg CO23/kWh]</t>
  </si>
  <si>
    <t xml:space="preserve">OBS! Rene renseseskaber (se rød tekst) udfylder her. </t>
  </si>
  <si>
    <t>Resten udfylder under afløb</t>
  </si>
  <si>
    <t>Se vejledning afsnit 4.1.1 og 4.2.1</t>
  </si>
  <si>
    <t>Se vejledning afsnit 4.1.2</t>
  </si>
  <si>
    <t>Se vejledning afsnit 4.1.3</t>
  </si>
  <si>
    <t>Se vejledning afsnit 4.2.1</t>
  </si>
  <si>
    <t>Se vejledning afsnit 4.2.3</t>
  </si>
  <si>
    <t>Se vejledning afsnit 4.3.1</t>
  </si>
  <si>
    <t>Se vejledning afsnit 4.3.2</t>
  </si>
  <si>
    <t>Se vejledning afsnit 4.4.2</t>
  </si>
  <si>
    <t>Se vejledning afsnit 4.4.1</t>
  </si>
  <si>
    <t>Se vejledning afsnit 4.5.1</t>
  </si>
  <si>
    <t>Se vejledning afsnit 4.5.2</t>
  </si>
  <si>
    <t>Se vejledning afsnit 4.6</t>
  </si>
  <si>
    <t>SCOPE 1: se vejledning afsnit 4.1</t>
  </si>
  <si>
    <t>SCOPE 2: se vejledning afsnit 4.2</t>
  </si>
  <si>
    <t>SCOPE 3: se vejledning afsnit 4.3</t>
  </si>
  <si>
    <t>UDENFOR SCOPE: FJERNEDE EMISSIONER: se vejledning afsnit 4.4</t>
  </si>
  <si>
    <t>UDENFOR SCOPE: UNDGÅEDE EMISSIONER: se vejledning afsnit 4.5</t>
  </si>
  <si>
    <t>EKSTERN DREVET VARMEPUMPE: UNDGÅEDE EMISSIONER: se vejledning afsnit 4.6</t>
  </si>
  <si>
    <t>SCOPE 1: se vejledning afsnit 5.1</t>
  </si>
  <si>
    <t>SCOPE 2: se vejledning afsnit 5.2</t>
  </si>
  <si>
    <t>SCOPE 3: se vejledning afsnit 5.3</t>
  </si>
  <si>
    <t>UDENFOR SCOPE: FJERNEDE EMISSIONER: se vejledning afsnit 5.4</t>
  </si>
  <si>
    <t>UDENFOR SCOPE: UNDGÅEDE EMISSIONER: se vejledning afsnit 5.5</t>
  </si>
  <si>
    <t>Se vejledning afsnit 5.1.1 og 5.2.1</t>
  </si>
  <si>
    <t>Se vejledning afsnit 5.1.2</t>
  </si>
  <si>
    <t>Se vejledning afsnit 5.2.1</t>
  </si>
  <si>
    <t>Se vejledning afsnit 5.2.2</t>
  </si>
  <si>
    <t>Se vejledning afsnit 5.2.3</t>
  </si>
  <si>
    <t>Se vejledning afsnit 5.3.1</t>
  </si>
  <si>
    <t>Se vejledning afsnit 5.3.2</t>
  </si>
  <si>
    <t>Se vejledning afsnit 5.4.1</t>
  </si>
  <si>
    <t>Se vejledning afsnit 5.5.1</t>
  </si>
  <si>
    <t>Se vejledning afsnit 5.5.2</t>
  </si>
  <si>
    <t>Se vejledning afsnit 6.1.1 og 6.2.1</t>
  </si>
  <si>
    <t>Se vejledning afsnit 6.1.2</t>
  </si>
  <si>
    <t>Se vejledning afsnit 6.1.3</t>
  </si>
  <si>
    <t>Se vejledning afsnit 6.1.4</t>
  </si>
  <si>
    <t>Se vejledning afsnit 6.1.5</t>
  </si>
  <si>
    <t>Se vejledning afsnit 6.1.6</t>
  </si>
  <si>
    <t>Se vejledning afsnit 6.2.1</t>
  </si>
  <si>
    <t>Se vejledning afsnit 6.2.2</t>
  </si>
  <si>
    <t>Se vejledning afsnit 6.2.3</t>
  </si>
  <si>
    <t>Se vejledning afsnit 6.3.1</t>
  </si>
  <si>
    <t>Se vejledning afsnit 6.3.2</t>
  </si>
  <si>
    <t>Se vejledning afsnit 6.3.3</t>
  </si>
  <si>
    <t>Se vejledning afsnit 6.1.6, 6.3.4 og 6.3.5</t>
  </si>
  <si>
    <t>Se vejledning afsnit 6.4.1</t>
  </si>
  <si>
    <t>Se vejledning afsnit 6.4.2</t>
  </si>
  <si>
    <t>Se vejledning afsnit 6.5.1</t>
  </si>
  <si>
    <t>Se vejledning afsnit 6.5.2</t>
  </si>
  <si>
    <t>Se vejledning afsnit 6.5.3</t>
  </si>
  <si>
    <t>Se vejledning afsnit 6.6</t>
  </si>
  <si>
    <t>SCOPE 1: se vejledning afsnit 6.1</t>
  </si>
  <si>
    <t>SCOPE 2: se vejledning afsnit 6.2</t>
  </si>
  <si>
    <t>SCOPE 3: se vejledning afsnit 6.3</t>
  </si>
  <si>
    <t>UDENFOR SCOPE: FJERNEDE EMISSIONER: se vejledning afsnit 6.4</t>
  </si>
  <si>
    <t>UDENFOR SCOPE: UNDGÅEDE EMISSIONER: se vejledning afsnit 6.5</t>
  </si>
  <si>
    <t>EKSTERN DREVET VARMEPUMPE: UNDGÅEDE EMISSIONER: se vejledning afsnit 6.6</t>
  </si>
  <si>
    <r>
      <t>Købt naturgas. Der medtages selskabets andel af naturgas ved fællesfaciliteter.</t>
    </r>
    <r>
      <rPr>
        <b/>
        <sz val="12"/>
        <color theme="1" tint="4.9989318521683403E-2"/>
        <rFont val="Calibri"/>
        <family val="2"/>
        <scheme val="minor"/>
      </rPr>
      <t xml:space="preserve"> Se fanen "hjælp" for omregning til kWh. </t>
    </r>
  </si>
  <si>
    <r>
      <t xml:space="preserve">Andel af råolie- og olieprodukter til opvarmning, der er gasolie eller dieselolie.  </t>
    </r>
    <r>
      <rPr>
        <b/>
        <sz val="12"/>
        <color theme="1"/>
        <rFont val="Calibri"/>
        <family val="2"/>
        <scheme val="minor"/>
      </rPr>
      <t xml:space="preserve">Se fanen "hjælp" for omregning til kWh. </t>
    </r>
  </si>
  <si>
    <r>
      <t xml:space="preserve">Andel af råolie- og olieprodukter til opvarmning, der er fuelolie.  </t>
    </r>
    <r>
      <rPr>
        <b/>
        <sz val="12"/>
        <color theme="1"/>
        <rFont val="Calibri"/>
        <family val="2"/>
        <scheme val="minor"/>
      </rPr>
      <t xml:space="preserve">Se fanen "hjælp" for omregning til kWh. </t>
    </r>
  </si>
  <si>
    <r>
      <t xml:space="preserve">Andel af vedvarende energikilde til opvarmning, der er købt som træpiller. </t>
    </r>
    <r>
      <rPr>
        <b/>
        <sz val="12"/>
        <color theme="1"/>
        <rFont val="Calibri"/>
        <family val="2"/>
        <scheme val="minor"/>
      </rPr>
      <t xml:space="preserve"> Se fanen "hjælp" for omregning til kWh. </t>
    </r>
  </si>
  <si>
    <r>
      <t xml:space="preserve">Andel af vedvarende energikilde til opvarmning, der er købt som træflis. </t>
    </r>
    <r>
      <rPr>
        <b/>
        <sz val="12"/>
        <color theme="1"/>
        <rFont val="Calibri"/>
        <family val="2"/>
        <scheme val="minor"/>
      </rPr>
      <t xml:space="preserve"> Se fanen "hjælp" for omregning til kWh. </t>
    </r>
  </si>
  <si>
    <r>
      <t xml:space="preserve">Andel af vedvarende energikilde til opvarmning, der er købt som halm. </t>
    </r>
    <r>
      <rPr>
        <b/>
        <sz val="12"/>
        <color theme="1"/>
        <rFont val="Calibri"/>
        <family val="2"/>
        <scheme val="minor"/>
      </rPr>
      <t xml:space="preserve"> Se fanen "hjælp" for omregning til kWh. </t>
    </r>
  </si>
  <si>
    <r>
      <t xml:space="preserve">Købt naturgas. Der medtages selskabets andel af naturgas ved fællesfaciliteter. </t>
    </r>
    <r>
      <rPr>
        <b/>
        <sz val="12"/>
        <color theme="1" tint="4.9989318521683403E-2"/>
        <rFont val="Calibri"/>
        <family val="2"/>
        <scheme val="minor"/>
      </rPr>
      <t xml:space="preserve"> Se fanen "hjælp" for omregning til kWh. </t>
    </r>
  </si>
  <si>
    <r>
      <t xml:space="preserve">Andel af råolie- og olieprodukter til opvarmning, der er gasolie eller dieselolie. </t>
    </r>
    <r>
      <rPr>
        <b/>
        <sz val="12"/>
        <color theme="1"/>
        <rFont val="Calibri"/>
        <family val="2"/>
        <scheme val="minor"/>
      </rPr>
      <t xml:space="preserve"> Se fanen "hjælp" for omregning til kWh. </t>
    </r>
  </si>
  <si>
    <r>
      <t xml:space="preserve">Andel af råolie- og olieprodukter til opvarmning, der er fuelolie. </t>
    </r>
    <r>
      <rPr>
        <b/>
        <sz val="12"/>
        <color theme="1"/>
        <rFont val="Calibri"/>
        <family val="2"/>
        <scheme val="minor"/>
      </rPr>
      <t xml:space="preserve"> Se fanen "hjælp" for omregning til kWh. </t>
    </r>
  </si>
  <si>
    <t>OBS! Hvis slamtype er 5.1c eller 5.2c, med disponeringsmuligheden "c: anden udnyttelse", skal selskabet selv angive emissionsfaktoren for eventuel kulstoflagring kg CO2e/ton TS i kolonne J.</t>
  </si>
  <si>
    <t>OBS! Hvis slamtype er 4.1c, 4.2c, 5.1c eller 5.2c, med disponeringsmuligheden "c: anden udnyttelse", skal selskabet selv angive emissionsfaktoren for eventuel gødningssubstitution kg CO2e/ton TS i kolonne J</t>
  </si>
  <si>
    <t>Hvis selskabet har en lokal bestemt emissionsfaktor (egen målerapport) for lattergasproduktion fra luftningstanke, kan den angives i % i kolonne  F-I. Angiv tal mellem 0 og 100. Se fanen "hjælp" for beregning af vægtet lokal bestemt emissionsfaktor</t>
  </si>
  <si>
    <t>Hvis selskabet har en lokal bestemt emissionsfaktor (egen målerapport) for metanproduktion, kan den angives i % i kolonne  F-I. Angiv tal mellem 0 og 100. Se fanen "hjælp" for beregning af vægtet lokal bestemt emissionsfaktor</t>
  </si>
  <si>
    <t>Reference</t>
  </si>
  <si>
    <t>År</t>
  </si>
  <si>
    <t>EcoInvent Databas 2.0</t>
  </si>
  <si>
    <t>Spire 2030</t>
  </si>
  <si>
    <t>EcoInvent Databas 3.4</t>
  </si>
  <si>
    <t>Arom Dekor</t>
  </si>
  <si>
    <t>Brown et al. (2010) baserat på Carnegie Mellon Green Design Inst. www.eiolca.net</t>
  </si>
  <si>
    <t>EcoInvent Databas 3.0</t>
  </si>
  <si>
    <t>Jern klorid (FECl3) - PlusJärn S 314</t>
  </si>
  <si>
    <t>Dankalt oplyst af Aarhus Vand</t>
  </si>
  <si>
    <t>Helm/Proman</t>
  </si>
  <si>
    <t>IPCC AR5</t>
  </si>
  <si>
    <t>Afridana</t>
  </si>
  <si>
    <t xml:space="preserve">Kemira </t>
  </si>
  <si>
    <t>Feralco</t>
  </si>
  <si>
    <t>Kemira</t>
  </si>
  <si>
    <t>PIX-111 (ferric chloride solution)</t>
  </si>
  <si>
    <t>PIX-113 (ferric sulphate solution)</t>
  </si>
  <si>
    <t>PIX-118 (ferric chloride sulphate solution)</t>
  </si>
  <si>
    <t>BTC Europe</t>
  </si>
  <si>
    <t>Kronos Titan</t>
  </si>
  <si>
    <t>Yara</t>
  </si>
  <si>
    <t>N2O  fra luftningstanke (lokal emissionsfaktor, national regnskab)*</t>
  </si>
  <si>
    <t>N2O  fra luftningstanke (standard emissionsfaktor, national regnskab)*</t>
  </si>
  <si>
    <t>* Beregnes til sammenligning med national regnskab</t>
  </si>
  <si>
    <t xml:space="preserve">Købt råolie- og olieprodukter til opvarmning. Der medtages selskabets andel af råolie- og olieprodukter ved fællesfaciliteter. Fordel på to nedenstående. </t>
  </si>
  <si>
    <t xml:space="preserve">Købt vedvarende energikilde til opvarmning. Fordel på tre nedenstående. Der medtages selskabets andel ved fællesfaciliteter. F.eks. træpiller, træflik og halm. </t>
  </si>
  <si>
    <t xml:space="preserve">Gennemsnitlig metankoncentration i råvand </t>
  </si>
  <si>
    <t xml:space="preserve">Hvis der forekommer en fejl i resultatet, er det formentlig, fordi der i den pågældende emissionspost står noget andet end tal. Kontroller venligst indtastningsfane. </t>
  </si>
  <si>
    <t>Fjernelsesgrad ved fjernelse og opsamling af metan fra råvand, så metan ikke udledes til atomosfæren. Angiv et tal mellem 0 og 100, hvor 100 betyder alt metan fjernes.</t>
  </si>
  <si>
    <r>
      <t>Angiv  gennemsnitlie metankoncentration i råvand inden evt. fjernelse. Koncentration er 0, hvis den er under detektionsgrænsen "&lt;" eller udbetydelig if. risikovurdering. Angiv vægtet gennemsnit ved flere boringer/ værker</t>
    </r>
    <r>
      <rPr>
        <b/>
        <sz val="12"/>
        <color theme="1" tint="4.9989318521683403E-2"/>
        <rFont val="Calibri"/>
        <family val="2"/>
        <scheme val="minor"/>
      </rPr>
      <t xml:space="preserve"> (se fanen "hjælp").</t>
    </r>
  </si>
  <si>
    <t>Se vejledning afsnit 4.2.2</t>
  </si>
  <si>
    <t>Lattergasemissioner til sammenligning med nationalregnskab, kg CO2e</t>
  </si>
  <si>
    <t>EPAM - Cationic emulsion polyacrylamide</t>
  </si>
  <si>
    <t>DPAM - Anionic dry polyacryylamide</t>
  </si>
  <si>
    <t>Konservativt skøn, højest mulige angivne emission</t>
  </si>
  <si>
    <t xml:space="preserve">Hvis ”Ja” til målsætning for energineutralitet for hele selskabet/holdingselskabet/koncernen – Hvad er status for opfyldelse af målet (angiv i %)? </t>
  </si>
  <si>
    <t xml:space="preserve">Overskudsslam defineres som både primær og sekundær slam efter evt. kondensering, men før afvanding og udrådning. Se vejledning Figur 41, for overblik. Tabel 6 angiver intern slamlagring- og behandling. Tabel 7 angiver ekstern slamlagring- og behandling. OBS! Scope 1 emissionsfaktor er angivet i kolonne J, mens scope 3 emissionsfaktor er angivet i kolonne K. </t>
  </si>
  <si>
    <t>Angiv CO2-fjernende tiltag for 2023 samt forventninger til 2025, 2030 og 2035. CO2-fjernende tiltag fjerner CO2 fra atomosfæren f.eks. ved lagring. F.eks. ved arealomlægning. Effekten skal kunne dokumenteres.</t>
  </si>
  <si>
    <t>Har hele selskabet en målsætning for, hvornår det skal være energineutralt? (vælg fra drop-down)</t>
  </si>
  <si>
    <t>Angiv lokal EF*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</si>
</sst>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_ ;\-0\ "/>
    <numFmt numFmtId="165" formatCode="_-* #,##0_-;\-* #,##0_-;_-* &quot;-&quot;??_-;_-@_-"/>
    <numFmt numFmtId="166" formatCode="0.000"/>
    <numFmt numFmtId="167" formatCode="0.0000"/>
    <numFmt numFmtId="168" formatCode="0.0"/>
    <numFmt numFmtId="169" formatCode="_-* #,##0.0_-;\-* #,##0.0_-;_-* &quot;-&quot;??_-;_-@_-"/>
    <numFmt numFmtId="170" formatCode="0.0000000"/>
    <numFmt numFmtId="171" formatCode="_-* #,##0.00\ _k_r_._-;\-* #,##0.00\ _k_r_._-;_-* &quot;-&quot;??\ _k_r_._-;_-@_-"/>
  </numFmts>
  <fonts count="73" x14ac:knownFonts="1">
    <font>
      <sz val="11"/>
      <color theme="1"/>
      <name val="Calibri"/>
      <family val="2"/>
      <scheme val="minor"/>
    </font>
    <font>
      <sz val="11"/>
      <color rgb="FF000000"/>
      <name val="Calibri"/>
      <family val="2"/>
      <scheme val="minor"/>
    </font>
    <font>
      <b/>
      <sz val="25"/>
      <color rgb="FF000000"/>
      <name val="Calibri"/>
      <family val="2"/>
      <scheme val="minor"/>
    </font>
    <font>
      <b/>
      <sz val="11"/>
      <color rgb="FF000000"/>
      <name val="Calibri"/>
      <family val="2"/>
      <scheme val="minor"/>
    </font>
    <font>
      <i/>
      <sz val="11"/>
      <color rgb="FF000000"/>
      <name val="Calibri"/>
      <family val="2"/>
      <scheme val="minor"/>
    </font>
    <font>
      <sz val="11"/>
      <color rgb="FFFF0000"/>
      <name val="Calibri"/>
      <family val="2"/>
      <scheme val="minor"/>
    </font>
    <font>
      <b/>
      <sz val="11"/>
      <color theme="1"/>
      <name val="Calibri"/>
      <family val="2"/>
      <scheme val="minor"/>
    </font>
    <font>
      <b/>
      <sz val="16"/>
      <color theme="1"/>
      <name val="Calibri"/>
      <family val="2"/>
      <scheme val="minor"/>
    </font>
    <font>
      <sz val="11"/>
      <name val="Calibri"/>
      <family val="2"/>
      <scheme val="minor"/>
    </font>
    <font>
      <sz val="12"/>
      <color theme="1"/>
      <name val="Calibri"/>
      <family val="2"/>
      <scheme val="minor"/>
    </font>
    <font>
      <sz val="16"/>
      <color theme="1"/>
      <name val="Calibri"/>
      <family val="2"/>
      <scheme val="minor"/>
    </font>
    <font>
      <sz val="25"/>
      <color theme="1"/>
      <name val="Calibri"/>
      <family val="2"/>
      <scheme val="minor"/>
    </font>
    <font>
      <b/>
      <sz val="25"/>
      <color theme="1"/>
      <name val="Calibri"/>
      <family val="2"/>
      <scheme val="minor"/>
    </font>
    <font>
      <b/>
      <u/>
      <sz val="25"/>
      <color theme="1"/>
      <name val="Calibri"/>
      <family val="2"/>
      <scheme val="minor"/>
    </font>
    <font>
      <sz val="11"/>
      <color theme="1"/>
      <name val="Calibri"/>
      <family val="2"/>
      <scheme val="minor"/>
    </font>
    <font>
      <sz val="11"/>
      <color theme="2" tint="-0.89999084444715716"/>
      <name val="Calibri"/>
      <family val="2"/>
      <scheme val="minor"/>
    </font>
    <font>
      <i/>
      <sz val="11"/>
      <color theme="2" tint="-0.89999084444715716"/>
      <name val="Calibri"/>
      <family val="2"/>
      <scheme val="minor"/>
    </font>
    <font>
      <sz val="10"/>
      <color theme="1"/>
      <name val="Calibri"/>
      <family val="2"/>
      <scheme val="minor"/>
    </font>
    <font>
      <sz val="9"/>
      <color theme="1"/>
      <name val="Calibri"/>
      <family val="2"/>
    </font>
    <font>
      <sz val="10"/>
      <color theme="1" tint="4.9989318521683403E-2"/>
      <name val="Calibri"/>
      <family val="2"/>
      <scheme val="minor"/>
    </font>
    <font>
      <sz val="12"/>
      <color theme="1" tint="4.9989318521683403E-2"/>
      <name val="Calibri"/>
      <family val="2"/>
      <scheme val="minor"/>
    </font>
    <font>
      <sz val="9"/>
      <color theme="1" tint="4.9989318521683403E-2"/>
      <name val="Calibri"/>
      <family val="2"/>
      <scheme val="minor"/>
    </font>
    <font>
      <sz val="11"/>
      <color theme="1" tint="4.9989318521683403E-2"/>
      <name val="Calibri"/>
      <family val="2"/>
      <scheme val="minor"/>
    </font>
    <font>
      <b/>
      <sz val="11"/>
      <color theme="1" tint="4.9989318521683403E-2"/>
      <name val="Calibri"/>
      <family val="2"/>
      <scheme val="minor"/>
    </font>
    <font>
      <i/>
      <sz val="11"/>
      <color theme="1" tint="4.9989318521683403E-2"/>
      <name val="Calibri"/>
      <family val="2"/>
      <scheme val="minor"/>
    </font>
    <font>
      <b/>
      <sz val="16"/>
      <color theme="1" tint="4.9989318521683403E-2"/>
      <name val="Calibri"/>
      <family val="2"/>
      <scheme val="minor"/>
    </font>
    <font>
      <i/>
      <sz val="12"/>
      <color theme="1" tint="4.9989318521683403E-2"/>
      <name val="Calibri"/>
      <family val="2"/>
      <scheme val="minor"/>
    </font>
    <font>
      <b/>
      <sz val="11"/>
      <color theme="0"/>
      <name val="Calibri"/>
      <family val="2"/>
      <scheme val="minor"/>
    </font>
    <font>
      <sz val="11"/>
      <color theme="0"/>
      <name val="Calibri"/>
      <family val="2"/>
      <scheme val="minor"/>
    </font>
    <font>
      <sz val="12"/>
      <color rgb="FFFF0000"/>
      <name val="Calibri"/>
      <family val="2"/>
      <scheme val="minor"/>
    </font>
    <font>
      <sz val="11"/>
      <color rgb="FF2A2C2E"/>
      <name val="Calibri"/>
      <family val="2"/>
      <scheme val="minor"/>
    </font>
    <font>
      <b/>
      <sz val="9"/>
      <color theme="1"/>
      <name val="Calibri"/>
      <family val="2"/>
    </font>
    <font>
      <sz val="8"/>
      <name val="Calibri"/>
      <family val="2"/>
      <scheme val="minor"/>
    </font>
    <font>
      <b/>
      <sz val="14"/>
      <color theme="0"/>
      <name val="Calibri"/>
      <family val="2"/>
      <scheme val="minor"/>
    </font>
    <font>
      <b/>
      <u/>
      <sz val="14"/>
      <color theme="0"/>
      <name val="Calibri"/>
      <family val="2"/>
    </font>
    <font>
      <b/>
      <sz val="14"/>
      <color theme="0"/>
      <name val="Calibri"/>
      <family val="2"/>
    </font>
    <font>
      <sz val="11"/>
      <color theme="1"/>
      <name val="Calibri"/>
      <family val="2"/>
    </font>
    <font>
      <vertAlign val="subscript"/>
      <sz val="11"/>
      <color theme="1"/>
      <name val="Calibri"/>
      <family val="2"/>
    </font>
    <font>
      <vertAlign val="superscript"/>
      <sz val="11"/>
      <color theme="1"/>
      <name val="Calibri"/>
      <family val="2"/>
    </font>
    <font>
      <vertAlign val="subscript"/>
      <sz val="11"/>
      <color theme="1"/>
      <name val="Calibri"/>
      <family val="2"/>
      <scheme val="minor"/>
    </font>
    <font>
      <sz val="14"/>
      <color theme="1"/>
      <name val="Calibri"/>
      <family val="2"/>
      <scheme val="minor"/>
    </font>
    <font>
      <sz val="14"/>
      <color theme="1"/>
      <name val="Calibri"/>
      <family val="2"/>
    </font>
    <font>
      <sz val="9"/>
      <color theme="1"/>
      <name val="Calibri"/>
      <family val="2"/>
      <scheme val="minor"/>
    </font>
    <font>
      <sz val="10"/>
      <name val="Arial"/>
      <family val="2"/>
    </font>
    <font>
      <b/>
      <sz val="12"/>
      <color rgb="FFFF0000"/>
      <name val="Calibri"/>
      <family val="2"/>
      <scheme val="minor"/>
    </font>
    <font>
      <b/>
      <sz val="14"/>
      <color theme="1" tint="4.9989318521683403E-2"/>
      <name val="Calibri"/>
      <family val="2"/>
      <scheme val="minor"/>
    </font>
    <font>
      <b/>
      <sz val="16"/>
      <color theme="7" tint="-0.249977111117893"/>
      <name val="Calibri"/>
      <family val="2"/>
      <scheme val="minor"/>
    </font>
    <font>
      <b/>
      <sz val="14"/>
      <color theme="1"/>
      <name val="Calibri"/>
      <family val="2"/>
      <scheme val="minor"/>
    </font>
    <font>
      <b/>
      <sz val="14"/>
      <color rgb="FF000000"/>
      <name val="Calibri"/>
      <family val="2"/>
      <scheme val="minor"/>
    </font>
    <font>
      <b/>
      <u/>
      <sz val="12"/>
      <color rgb="FFFF0000"/>
      <name val="Calibri"/>
      <family val="2"/>
      <scheme val="minor"/>
    </font>
    <font>
      <b/>
      <sz val="12"/>
      <color theme="1" tint="4.9989318521683403E-2"/>
      <name val="Calibri"/>
      <family val="2"/>
      <scheme val="minor"/>
    </font>
    <font>
      <b/>
      <sz val="12"/>
      <color theme="1"/>
      <name val="Calibri"/>
      <family val="2"/>
      <scheme val="minor"/>
    </font>
    <font>
      <b/>
      <sz val="20"/>
      <color theme="1" tint="4.9989318521683403E-2"/>
      <name val="Calibri"/>
      <family val="2"/>
      <scheme val="minor"/>
    </font>
    <font>
      <i/>
      <sz val="12"/>
      <color theme="1"/>
      <name val="Calibri"/>
      <family val="2"/>
      <scheme val="minor"/>
    </font>
    <font>
      <sz val="12"/>
      <name val="Calibri"/>
      <family val="2"/>
      <scheme val="minor"/>
    </font>
    <font>
      <u/>
      <sz val="11"/>
      <color theme="1"/>
      <name val="Calibri"/>
      <family val="2"/>
      <scheme val="minor"/>
    </font>
    <font>
      <i/>
      <sz val="11"/>
      <color theme="0"/>
      <name val="Calibri"/>
      <family val="2"/>
      <scheme val="minor"/>
    </font>
    <font>
      <u/>
      <sz val="12"/>
      <color theme="1"/>
      <name val="Calibri"/>
      <family val="2"/>
      <scheme val="minor"/>
    </font>
    <font>
      <sz val="9"/>
      <color indexed="81"/>
      <name val="Tahoma"/>
      <family val="2"/>
    </font>
    <font>
      <b/>
      <sz val="9"/>
      <color indexed="81"/>
      <name val="Tahoma"/>
      <family val="2"/>
    </font>
    <font>
      <sz val="12"/>
      <color rgb="FF00B0F0"/>
      <name val="Calibri"/>
      <family val="2"/>
      <scheme val="minor"/>
    </font>
    <font>
      <b/>
      <sz val="14"/>
      <color rgb="FFC00000"/>
      <name val="Calibri"/>
      <family val="2"/>
      <scheme val="minor"/>
    </font>
    <font>
      <b/>
      <sz val="11"/>
      <color rgb="FFFF0000"/>
      <name val="Calibri"/>
      <family val="2"/>
      <scheme val="minor"/>
    </font>
    <font>
      <sz val="12"/>
      <color rgb="FFC00000"/>
      <name val="Calibri"/>
      <family val="2"/>
      <scheme val="minor"/>
    </font>
    <font>
      <b/>
      <sz val="11"/>
      <color rgb="FFC00000"/>
      <name val="Calibri"/>
      <family val="2"/>
      <scheme val="minor"/>
    </font>
    <font>
      <b/>
      <sz val="12"/>
      <color rgb="FFC00000"/>
      <name val="Calibri"/>
      <family val="2"/>
      <scheme val="minor"/>
    </font>
    <font>
      <b/>
      <sz val="13"/>
      <color rgb="FFFF0000"/>
      <name val="Calibri"/>
      <family val="2"/>
      <scheme val="minor"/>
    </font>
    <font>
      <b/>
      <sz val="22"/>
      <color rgb="FFFF0000"/>
      <name val="Calibri"/>
      <family val="2"/>
      <scheme val="minor"/>
    </font>
    <font>
      <b/>
      <sz val="18"/>
      <color rgb="FFC00000"/>
      <name val="Calibri"/>
      <family val="2"/>
      <scheme val="minor"/>
    </font>
    <font>
      <i/>
      <sz val="12"/>
      <name val="Calibri"/>
      <family val="2"/>
      <scheme val="minor"/>
    </font>
    <font>
      <b/>
      <sz val="12"/>
      <name val="Calibri"/>
      <family val="2"/>
      <scheme val="minor"/>
    </font>
    <font>
      <b/>
      <sz val="13"/>
      <color rgb="FFC00000"/>
      <name val="Calibri"/>
      <family val="2"/>
      <scheme val="minor"/>
    </font>
    <font>
      <sz val="11"/>
      <color rgb="FFC00000"/>
      <name val="Calibri"/>
      <family val="2"/>
      <scheme val="minor"/>
    </font>
  </fonts>
  <fills count="17">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0"/>
        <bgColor rgb="FF000000"/>
      </patternFill>
    </fill>
    <fill>
      <patternFill patternType="solid">
        <fgColor rgb="FFB4C0B0"/>
        <bgColor indexed="64"/>
      </patternFill>
    </fill>
    <fill>
      <patternFill patternType="solid">
        <fgColor rgb="FFC0CCBC"/>
        <bgColor indexed="64"/>
      </patternFill>
    </fill>
    <fill>
      <patternFill patternType="solid">
        <fgColor theme="0" tint="-0.14999847407452621"/>
        <bgColor indexed="64"/>
      </patternFill>
    </fill>
    <fill>
      <patternFill patternType="solid">
        <fgColor rgb="FFD5E8CA"/>
        <bgColor indexed="64"/>
      </patternFill>
    </fill>
    <fill>
      <patternFill patternType="solid">
        <fgColor rgb="FFC0CCBC"/>
        <bgColor rgb="FF000000"/>
      </patternFill>
    </fill>
    <fill>
      <patternFill patternType="solid">
        <fgColor theme="4"/>
        <bgColor theme="4"/>
      </patternFill>
    </fill>
    <fill>
      <patternFill patternType="solid">
        <fgColor theme="4" tint="0.79998168889431442"/>
        <bgColor theme="4" tint="0.79998168889431442"/>
      </patternFill>
    </fill>
    <fill>
      <patternFill patternType="solid">
        <fgColor rgb="FFE0E1DF"/>
        <bgColor indexed="64"/>
      </patternFill>
    </fill>
    <fill>
      <patternFill patternType="lightUp">
        <fgColor theme="0" tint="-0.34998626667073579"/>
        <bgColor theme="4" tint="0.79998168889431442"/>
      </patternFill>
    </fill>
    <fill>
      <patternFill patternType="lightUp">
        <fgColor theme="0" tint="-0.499984740745262"/>
        <bgColor theme="4" tint="0.79998168889431442"/>
      </patternFill>
    </fill>
    <fill>
      <patternFill patternType="solid">
        <fgColor theme="9" tint="0.79998168889431442"/>
        <bgColor indexed="64"/>
      </patternFill>
    </fill>
    <fill>
      <patternFill patternType="solid">
        <fgColor theme="4" tint="0.79998168889431442"/>
        <bgColor indexed="64"/>
      </patternFill>
    </fill>
  </fills>
  <borders count="100">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style="thin">
        <color indexed="64"/>
      </top>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medium">
        <color indexed="64"/>
      </top>
      <bottom style="medium">
        <color indexed="64"/>
      </bottom>
      <diagonal/>
    </border>
    <border>
      <left/>
      <right/>
      <top/>
      <bottom style="thin">
        <color indexed="64"/>
      </bottom>
      <diagonal/>
    </border>
    <border>
      <left style="thin">
        <color indexed="64"/>
      </left>
      <right/>
      <top/>
      <bottom style="thin">
        <color indexed="64"/>
      </bottom>
      <diagonal/>
    </border>
    <border>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right/>
      <top style="thin">
        <color indexed="64"/>
      </top>
      <bottom style="medium">
        <color indexed="64"/>
      </bottom>
      <diagonal/>
    </border>
    <border>
      <left style="thin">
        <color indexed="64"/>
      </left>
      <right/>
      <top/>
      <bottom/>
      <diagonal/>
    </border>
    <border>
      <left/>
      <right/>
      <top style="thin">
        <color indexed="64"/>
      </top>
      <bottom/>
      <diagonal/>
    </border>
    <border>
      <left style="medium">
        <color indexed="64"/>
      </left>
      <right/>
      <top style="thin">
        <color indexed="64"/>
      </top>
      <bottom/>
      <diagonal/>
    </border>
    <border>
      <left style="thin">
        <color indexed="64"/>
      </left>
      <right style="medium">
        <color indexed="64"/>
      </right>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diagonal/>
    </border>
    <border>
      <left/>
      <right/>
      <top style="thin">
        <color theme="4" tint="0.39997558519241921"/>
      </top>
      <bottom style="thin">
        <color theme="4" tint="0.39997558519241921"/>
      </bottom>
      <diagonal/>
    </border>
    <border>
      <left/>
      <right/>
      <top style="thin">
        <color theme="4" tint="0.39997558519241921"/>
      </top>
      <bottom/>
      <diagonal/>
    </border>
    <border>
      <left/>
      <right style="thin">
        <color theme="4" tint="0.39997558519241921"/>
      </right>
      <top style="thin">
        <color theme="4" tint="0.39997558519241921"/>
      </top>
      <bottom/>
      <diagonal/>
    </border>
    <border>
      <left style="thin">
        <color indexed="64"/>
      </left>
      <right/>
      <top style="thin">
        <color theme="4" tint="0.39997558519241921"/>
      </top>
      <bottom/>
      <diagonal/>
    </border>
    <border>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style="medium">
        <color indexed="64"/>
      </left>
      <right/>
      <top style="thin">
        <color indexed="64"/>
      </top>
      <bottom style="thin">
        <color theme="4" tint="0.39997558519241921"/>
      </bottom>
      <diagonal/>
    </border>
    <border>
      <left style="thin">
        <color indexed="64"/>
      </left>
      <right/>
      <top style="thin">
        <color theme="4" tint="0.39997558519241921"/>
      </top>
      <bottom style="thin">
        <color theme="4" tint="0.39997558519241921"/>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medium">
        <color indexed="64"/>
      </left>
      <right style="medium">
        <color indexed="64"/>
      </right>
      <top/>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rgb="FFCECECB"/>
      </left>
      <right style="thin">
        <color rgb="FFCECECB"/>
      </right>
      <top style="thin">
        <color rgb="FFCECECB"/>
      </top>
      <bottom style="thin">
        <color rgb="FFCECECB"/>
      </bottom>
      <diagonal/>
    </border>
    <border>
      <left style="medium">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bottom style="dashed">
        <color indexed="64"/>
      </bottom>
      <diagonal/>
    </border>
    <border>
      <left style="medium">
        <color indexed="64"/>
      </left>
      <right style="medium">
        <color indexed="64"/>
      </right>
      <top style="thin">
        <color indexed="64"/>
      </top>
      <bottom style="dashed">
        <color indexed="64"/>
      </bottom>
      <diagonal/>
    </border>
    <border>
      <left style="medium">
        <color indexed="64"/>
      </left>
      <right style="medium">
        <color indexed="64"/>
      </right>
      <top style="thin">
        <color indexed="64"/>
      </top>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dashed">
        <color indexed="64"/>
      </left>
      <right/>
      <top/>
      <bottom/>
      <diagonal/>
    </border>
    <border>
      <left/>
      <right/>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top style="thin">
        <color indexed="64"/>
      </top>
      <bottom style="thin">
        <color indexed="64"/>
      </bottom>
      <diagonal/>
    </border>
    <border>
      <left style="thin">
        <color theme="9" tint="0.39997558519241921"/>
      </left>
      <right/>
      <top/>
      <bottom/>
      <diagonal/>
    </border>
    <border>
      <left/>
      <right style="thin">
        <color theme="4" tint="0.39997558519241921"/>
      </right>
      <top/>
      <bottom/>
      <diagonal/>
    </border>
    <border>
      <left style="medium">
        <color indexed="64"/>
      </left>
      <right style="thin">
        <color indexed="64"/>
      </right>
      <top/>
      <bottom/>
      <diagonal/>
    </border>
  </borders>
  <cellStyleXfs count="3">
    <xf numFmtId="0" fontId="0" fillId="0" borderId="0"/>
    <xf numFmtId="43" fontId="14" fillId="0" borderId="0" applyFont="0" applyFill="0" applyBorder="0" applyAlignment="0" applyProtection="0"/>
    <xf numFmtId="0" fontId="42" fillId="0" borderId="0"/>
  </cellStyleXfs>
  <cellXfs count="975">
    <xf numFmtId="0" fontId="0" fillId="0" borderId="0" xfId="0"/>
    <xf numFmtId="0" fontId="1" fillId="0" borderId="0" xfId="0" applyFont="1"/>
    <xf numFmtId="0" fontId="1" fillId="0" borderId="0" xfId="0" applyFont="1" applyAlignment="1">
      <alignment vertical="top" wrapText="1"/>
    </xf>
    <xf numFmtId="0" fontId="5" fillId="0" borderId="0" xfId="0" applyFont="1"/>
    <xf numFmtId="0" fontId="6" fillId="0" borderId="0" xfId="0" applyFont="1"/>
    <xf numFmtId="3" fontId="0" fillId="0" borderId="0" xfId="0" applyNumberFormat="1"/>
    <xf numFmtId="0" fontId="15" fillId="0" borderId="0" xfId="0" applyFont="1"/>
    <xf numFmtId="0" fontId="28" fillId="0" borderId="0" xfId="0" applyFont="1"/>
    <xf numFmtId="0" fontId="0" fillId="0" borderId="0" xfId="0" applyAlignment="1">
      <alignment vertical="center" wrapText="1"/>
    </xf>
    <xf numFmtId="0" fontId="1" fillId="0" borderId="0" xfId="0" applyFont="1" applyAlignment="1">
      <alignment wrapText="1"/>
    </xf>
    <xf numFmtId="0" fontId="0" fillId="0" borderId="55" xfId="0" applyBorder="1"/>
    <xf numFmtId="0" fontId="18" fillId="0" borderId="0" xfId="0" applyFont="1" applyAlignment="1">
      <alignment vertical="center" wrapText="1"/>
    </xf>
    <xf numFmtId="0" fontId="31" fillId="0" borderId="0" xfId="0" applyFont="1" applyAlignment="1">
      <alignment vertical="center" wrapText="1"/>
    </xf>
    <xf numFmtId="0" fontId="33" fillId="10" borderId="55" xfId="0" applyFont="1" applyFill="1" applyBorder="1"/>
    <xf numFmtId="0" fontId="33" fillId="10" borderId="56" xfId="0" applyFont="1" applyFill="1" applyBorder="1" applyAlignment="1">
      <alignment wrapText="1"/>
    </xf>
    <xf numFmtId="0" fontId="15" fillId="0" borderId="55" xfId="0" applyFont="1" applyBorder="1"/>
    <xf numFmtId="0" fontId="31" fillId="0" borderId="0" xfId="0" applyFont="1" applyAlignment="1">
      <alignment horizontal="center" vertical="center" wrapText="1"/>
    </xf>
    <xf numFmtId="0" fontId="0" fillId="0" borderId="0" xfId="0" applyAlignment="1">
      <alignment horizontal="center" wrapText="1"/>
    </xf>
    <xf numFmtId="0" fontId="36" fillId="11" borderId="54" xfId="0" applyFont="1" applyFill="1" applyBorder="1" applyAlignment="1">
      <alignment vertical="center" wrapText="1"/>
    </xf>
    <xf numFmtId="0" fontId="36" fillId="0" borderId="55" xfId="0" applyFont="1" applyBorder="1" applyAlignment="1">
      <alignment vertical="center" wrapText="1"/>
    </xf>
    <xf numFmtId="0" fontId="0" fillId="0" borderId="54" xfId="0" applyBorder="1"/>
    <xf numFmtId="0" fontId="0" fillId="11" borderId="54" xfId="0" applyFill="1" applyBorder="1"/>
    <xf numFmtId="0" fontId="0" fillId="11" borderId="58" xfId="0" applyFill="1" applyBorder="1"/>
    <xf numFmtId="0" fontId="0" fillId="11" borderId="59" xfId="0" applyFill="1" applyBorder="1"/>
    <xf numFmtId="0" fontId="33" fillId="10" borderId="60" xfId="0" applyFont="1" applyFill="1" applyBorder="1"/>
    <xf numFmtId="0" fontId="33" fillId="10" borderId="56" xfId="0" applyFont="1" applyFill="1" applyBorder="1"/>
    <xf numFmtId="0" fontId="36" fillId="11" borderId="60" xfId="0" applyFont="1" applyFill="1" applyBorder="1" applyAlignment="1">
      <alignment vertical="center"/>
    </xf>
    <xf numFmtId="0" fontId="0" fillId="11" borderId="55" xfId="0" applyFill="1" applyBorder="1"/>
    <xf numFmtId="0" fontId="0" fillId="11" borderId="56" xfId="0" applyFill="1" applyBorder="1"/>
    <xf numFmtId="0" fontId="36" fillId="0" borderId="60" xfId="0" applyFont="1" applyBorder="1" applyAlignment="1">
      <alignment vertical="center"/>
    </xf>
    <xf numFmtId="0" fontId="0" fillId="0" borderId="56" xfId="0" applyBorder="1"/>
    <xf numFmtId="0" fontId="36" fillId="11" borderId="59" xfId="0" applyFont="1" applyFill="1" applyBorder="1" applyAlignment="1">
      <alignment vertical="center"/>
    </xf>
    <xf numFmtId="0" fontId="34" fillId="10" borderId="60" xfId="0" applyFont="1" applyFill="1" applyBorder="1" applyAlignment="1">
      <alignment vertical="center" wrapText="1"/>
    </xf>
    <xf numFmtId="0" fontId="35" fillId="10" borderId="56" xfId="0" applyFont="1" applyFill="1" applyBorder="1" applyAlignment="1">
      <alignment vertical="center" wrapText="1"/>
    </xf>
    <xf numFmtId="0" fontId="36" fillId="11" borderId="60" xfId="0" applyFont="1" applyFill="1" applyBorder="1" applyAlignment="1">
      <alignment vertical="center" wrapText="1"/>
    </xf>
    <xf numFmtId="0" fontId="36" fillId="11" borderId="56" xfId="0" applyFont="1" applyFill="1" applyBorder="1" applyAlignment="1">
      <alignment vertical="center" wrapText="1"/>
    </xf>
    <xf numFmtId="0" fontId="36" fillId="0" borderId="60" xfId="0" applyFont="1" applyBorder="1" applyAlignment="1">
      <alignment vertical="center" wrapText="1"/>
    </xf>
    <xf numFmtId="0" fontId="36" fillId="0" borderId="56" xfId="0" applyFont="1" applyBorder="1" applyAlignment="1">
      <alignment vertical="center" wrapText="1"/>
    </xf>
    <xf numFmtId="0" fontId="36" fillId="0" borderId="59" xfId="0" applyFont="1" applyBorder="1" applyAlignment="1">
      <alignment vertical="center" wrapText="1"/>
    </xf>
    <xf numFmtId="0" fontId="36" fillId="0" borderId="58" xfId="0" applyFont="1" applyBorder="1" applyAlignment="1">
      <alignment vertical="center" wrapText="1"/>
    </xf>
    <xf numFmtId="0" fontId="33" fillId="10" borderId="55" xfId="0" applyFont="1" applyFill="1" applyBorder="1" applyAlignment="1">
      <alignment wrapText="1"/>
    </xf>
    <xf numFmtId="0" fontId="33" fillId="10" borderId="60" xfId="0" applyFont="1" applyFill="1" applyBorder="1" applyAlignment="1">
      <alignment wrapText="1"/>
    </xf>
    <xf numFmtId="0" fontId="36" fillId="11" borderId="55" xfId="0" applyFont="1" applyFill="1" applyBorder="1" applyAlignment="1">
      <alignment vertical="center" wrapText="1"/>
    </xf>
    <xf numFmtId="0" fontId="36" fillId="0" borderId="54" xfId="0" applyFont="1" applyBorder="1" applyAlignment="1">
      <alignment vertical="center" wrapText="1"/>
    </xf>
    <xf numFmtId="166" fontId="36" fillId="11" borderId="55" xfId="0" applyNumberFormat="1" applyFont="1" applyFill="1" applyBorder="1" applyAlignment="1">
      <alignment vertical="center" wrapText="1"/>
    </xf>
    <xf numFmtId="0" fontId="0" fillId="11" borderId="60" xfId="0" applyFill="1" applyBorder="1"/>
    <xf numFmtId="9" fontId="0" fillId="11" borderId="55" xfId="0" applyNumberFormat="1" applyFill="1" applyBorder="1"/>
    <xf numFmtId="0" fontId="0" fillId="0" borderId="60" xfId="0" applyBorder="1"/>
    <xf numFmtId="9" fontId="0" fillId="11" borderId="54" xfId="0" applyNumberFormat="1" applyFill="1" applyBorder="1"/>
    <xf numFmtId="0" fontId="35" fillId="10" borderId="55" xfId="0" applyFont="1" applyFill="1" applyBorder="1" applyAlignment="1">
      <alignment vertical="center" wrapText="1"/>
    </xf>
    <xf numFmtId="0" fontId="36" fillId="11" borderId="59" xfId="0" applyFont="1" applyFill="1" applyBorder="1" applyAlignment="1">
      <alignment vertical="center" wrapText="1"/>
    </xf>
    <xf numFmtId="0" fontId="36" fillId="11" borderId="58" xfId="0" applyFont="1" applyFill="1" applyBorder="1" applyAlignment="1">
      <alignment vertical="center" wrapText="1"/>
    </xf>
    <xf numFmtId="0" fontId="0" fillId="11" borderId="55" xfId="0" applyFill="1" applyBorder="1" applyAlignment="1">
      <alignment vertical="center" wrapText="1"/>
    </xf>
    <xf numFmtId="0" fontId="0" fillId="0" borderId="54" xfId="0" applyBorder="1" applyAlignment="1">
      <alignment vertical="center" wrapText="1"/>
    </xf>
    <xf numFmtId="0" fontId="0" fillId="11" borderId="43" xfId="0" applyFill="1" applyBorder="1" applyAlignment="1">
      <alignment horizontal="center" wrapText="1"/>
    </xf>
    <xf numFmtId="0" fontId="15" fillId="11" borderId="57" xfId="0" applyFont="1" applyFill="1" applyBorder="1"/>
    <xf numFmtId="0" fontId="15" fillId="11" borderId="56" xfId="0" applyFont="1" applyFill="1" applyBorder="1"/>
    <xf numFmtId="0" fontId="0" fillId="0" borderId="61" xfId="0" applyBorder="1" applyAlignment="1">
      <alignment horizontal="center" wrapText="1"/>
    </xf>
    <xf numFmtId="0" fontId="15" fillId="0" borderId="62" xfId="0" applyFont="1" applyBorder="1"/>
    <xf numFmtId="0" fontId="15" fillId="0" borderId="58" xfId="0" applyFont="1" applyBorder="1"/>
    <xf numFmtId="0" fontId="15" fillId="11" borderId="60" xfId="0" applyFont="1" applyFill="1" applyBorder="1"/>
    <xf numFmtId="0" fontId="15" fillId="11" borderId="55" xfId="0" applyFont="1" applyFill="1" applyBorder="1" applyAlignment="1">
      <alignment wrapText="1"/>
    </xf>
    <xf numFmtId="0" fontId="15" fillId="11" borderId="55" xfId="0" applyFont="1" applyFill="1" applyBorder="1"/>
    <xf numFmtId="0" fontId="0" fillId="0" borderId="60" xfId="0" applyBorder="1" applyAlignment="1">
      <alignment vertical="center" wrapText="1"/>
    </xf>
    <xf numFmtId="0" fontId="15" fillId="0" borderId="55" xfId="0" applyFont="1" applyBorder="1" applyAlignment="1">
      <alignment wrapText="1"/>
    </xf>
    <xf numFmtId="0" fontId="15" fillId="0" borderId="56" xfId="0" applyFont="1" applyBorder="1"/>
    <xf numFmtId="0" fontId="0" fillId="11" borderId="60" xfId="0" applyFill="1" applyBorder="1" applyAlignment="1">
      <alignment vertical="center" wrapText="1"/>
    </xf>
    <xf numFmtId="0" fontId="0" fillId="11" borderId="56" xfId="0" applyFill="1" applyBorder="1" applyAlignment="1">
      <alignment vertical="center" wrapText="1"/>
    </xf>
    <xf numFmtId="0" fontId="0" fillId="0" borderId="55" xfId="0" applyBorder="1" applyAlignment="1">
      <alignment vertical="center" wrapText="1"/>
    </xf>
    <xf numFmtId="0" fontId="0" fillId="0" borderId="56" xfId="0" applyBorder="1" applyAlignment="1">
      <alignment vertical="center" wrapText="1"/>
    </xf>
    <xf numFmtId="0" fontId="15" fillId="0" borderId="60" xfId="0" applyFont="1" applyBorder="1"/>
    <xf numFmtId="0" fontId="15" fillId="11" borderId="59" xfId="0" applyFont="1" applyFill="1" applyBorder="1"/>
    <xf numFmtId="0" fontId="15" fillId="11" borderId="54" xfId="0" applyFont="1" applyFill="1" applyBorder="1" applyAlignment="1">
      <alignment wrapText="1"/>
    </xf>
    <xf numFmtId="0" fontId="15" fillId="11" borderId="54" xfId="0" applyFont="1" applyFill="1" applyBorder="1"/>
    <xf numFmtId="0" fontId="15" fillId="11" borderId="58" xfId="0" applyFont="1" applyFill="1" applyBorder="1"/>
    <xf numFmtId="0" fontId="40" fillId="0" borderId="0" xfId="0" applyFont="1" applyAlignment="1">
      <alignment horizontal="center"/>
    </xf>
    <xf numFmtId="0" fontId="41" fillId="0" borderId="60" xfId="0" applyFont="1" applyBorder="1" applyAlignment="1">
      <alignment vertical="center" wrapText="1"/>
    </xf>
    <xf numFmtId="0" fontId="41" fillId="0" borderId="60" xfId="0" applyFont="1" applyBorder="1" applyAlignment="1">
      <alignment horizontal="center" vertical="center" wrapText="1"/>
    </xf>
    <xf numFmtId="0" fontId="35" fillId="10" borderId="60" xfId="0" applyFont="1" applyFill="1" applyBorder="1" applyAlignment="1">
      <alignment vertical="center" wrapText="1"/>
    </xf>
    <xf numFmtId="167" fontId="0" fillId="11" borderId="54" xfId="0" applyNumberFormat="1" applyFill="1" applyBorder="1"/>
    <xf numFmtId="0" fontId="15" fillId="11" borderId="0" xfId="0" applyFont="1" applyFill="1" applyAlignment="1">
      <alignment wrapText="1"/>
    </xf>
    <xf numFmtId="4" fontId="0" fillId="0" borderId="0" xfId="0" applyNumberFormat="1"/>
    <xf numFmtId="167" fontId="0" fillId="11" borderId="60" xfId="0" applyNumberFormat="1" applyFill="1" applyBorder="1"/>
    <xf numFmtId="0" fontId="36" fillId="0" borderId="0" xfId="0" applyFont="1" applyAlignment="1">
      <alignment vertical="center"/>
    </xf>
    <xf numFmtId="0" fontId="16" fillId="9" borderId="0" xfId="0" applyFont="1" applyFill="1" applyProtection="1">
      <protection locked="0"/>
    </xf>
    <xf numFmtId="165" fontId="9" fillId="8" borderId="39" xfId="1" applyNumberFormat="1" applyFont="1" applyFill="1" applyBorder="1" applyAlignment="1" applyProtection="1">
      <alignment horizontal="center"/>
      <protection locked="0"/>
    </xf>
    <xf numFmtId="165" fontId="20" fillId="6" borderId="7" xfId="1" applyNumberFormat="1" applyFont="1" applyFill="1" applyBorder="1" applyAlignment="1" applyProtection="1">
      <alignment wrapText="1"/>
      <protection locked="0"/>
    </xf>
    <xf numFmtId="165" fontId="20" fillId="6" borderId="8" xfId="1" applyNumberFormat="1" applyFont="1" applyFill="1" applyBorder="1" applyAlignment="1" applyProtection="1">
      <alignment wrapText="1"/>
      <protection locked="0"/>
    </xf>
    <xf numFmtId="165" fontId="20" fillId="6" borderId="7" xfId="1" applyNumberFormat="1" applyFont="1" applyFill="1" applyBorder="1" applyAlignment="1" applyProtection="1">
      <protection locked="0"/>
    </xf>
    <xf numFmtId="165" fontId="20" fillId="6" borderId="9" xfId="1" applyNumberFormat="1" applyFont="1" applyFill="1" applyBorder="1" applyAlignment="1" applyProtection="1">
      <protection locked="0"/>
    </xf>
    <xf numFmtId="165" fontId="20" fillId="6" borderId="13" xfId="1" applyNumberFormat="1" applyFont="1" applyFill="1" applyBorder="1" applyAlignment="1" applyProtection="1">
      <protection locked="0"/>
    </xf>
    <xf numFmtId="165" fontId="20" fillId="6" borderId="4" xfId="1" applyNumberFormat="1" applyFont="1" applyFill="1" applyBorder="1" applyAlignment="1" applyProtection="1">
      <protection locked="0"/>
    </xf>
    <xf numFmtId="165" fontId="20" fillId="6" borderId="47" xfId="1" applyNumberFormat="1" applyFont="1" applyFill="1" applyBorder="1" applyAlignment="1" applyProtection="1">
      <protection locked="0"/>
    </xf>
    <xf numFmtId="165" fontId="20" fillId="6" borderId="11" xfId="1" applyNumberFormat="1" applyFont="1" applyFill="1" applyBorder="1" applyAlignment="1" applyProtection="1">
      <protection locked="0"/>
    </xf>
    <xf numFmtId="0" fontId="9" fillId="0" borderId="51" xfId="0" applyFont="1" applyBorder="1" applyAlignment="1" applyProtection="1">
      <alignment wrapText="1"/>
      <protection locked="0"/>
    </xf>
    <xf numFmtId="0" fontId="20" fillId="0" borderId="51" xfId="0" applyFont="1" applyBorder="1" applyAlignment="1" applyProtection="1">
      <alignment wrapText="1"/>
      <protection locked="0"/>
    </xf>
    <xf numFmtId="0" fontId="26" fillId="6" borderId="8" xfId="0" applyFont="1" applyFill="1" applyBorder="1" applyAlignment="1" applyProtection="1">
      <alignment wrapText="1"/>
      <protection locked="0"/>
    </xf>
    <xf numFmtId="0" fontId="26" fillId="6" borderId="10" xfId="0" applyFont="1" applyFill="1" applyBorder="1" applyAlignment="1" applyProtection="1">
      <alignment wrapText="1"/>
      <protection locked="0"/>
    </xf>
    <xf numFmtId="165" fontId="20" fillId="6" borderId="11" xfId="1" applyNumberFormat="1" applyFont="1" applyFill="1" applyBorder="1" applyAlignment="1" applyProtection="1">
      <alignment wrapText="1"/>
      <protection locked="0"/>
    </xf>
    <xf numFmtId="0" fontId="20" fillId="6" borderId="31" xfId="0" applyFont="1" applyFill="1" applyBorder="1" applyAlignment="1" applyProtection="1">
      <alignment horizontal="left" wrapText="1"/>
      <protection locked="0"/>
    </xf>
    <xf numFmtId="0" fontId="20" fillId="6" borderId="16" xfId="0" applyFont="1" applyFill="1" applyBorder="1" applyAlignment="1" applyProtection="1">
      <alignment horizontal="left" wrapText="1"/>
      <protection locked="0"/>
    </xf>
    <xf numFmtId="0" fontId="0" fillId="6" borderId="7" xfId="0" applyFill="1" applyBorder="1" applyProtection="1">
      <protection locked="0"/>
    </xf>
    <xf numFmtId="0" fontId="53" fillId="6" borderId="3" xfId="0" applyFont="1" applyFill="1" applyBorder="1" applyAlignment="1" applyProtection="1">
      <alignment horizontal="left" wrapText="1" indent="1"/>
      <protection locked="0"/>
    </xf>
    <xf numFmtId="0" fontId="9" fillId="0" borderId="63" xfId="0" applyFont="1" applyBorder="1" applyAlignment="1" applyProtection="1">
      <alignment wrapText="1"/>
      <protection locked="0"/>
    </xf>
    <xf numFmtId="0" fontId="20" fillId="0" borderId="21" xfId="0" applyFont="1" applyBorder="1" applyAlignment="1" applyProtection="1">
      <alignment wrapText="1"/>
      <protection locked="0"/>
    </xf>
    <xf numFmtId="0" fontId="20" fillId="6" borderId="21" xfId="0" applyFont="1" applyFill="1" applyBorder="1" applyAlignment="1" applyProtection="1">
      <alignment wrapText="1"/>
      <protection locked="0"/>
    </xf>
    <xf numFmtId="0" fontId="20" fillId="0" borderId="52" xfId="0" applyFont="1" applyBorder="1" applyAlignment="1" applyProtection="1">
      <alignment wrapText="1"/>
      <protection locked="0"/>
    </xf>
    <xf numFmtId="0" fontId="26" fillId="0" borderId="21" xfId="0" applyFont="1" applyBorder="1" applyAlignment="1" applyProtection="1">
      <alignment wrapText="1"/>
      <protection locked="0"/>
    </xf>
    <xf numFmtId="0" fontId="20" fillId="0" borderId="30" xfId="0" applyFont="1" applyBorder="1" applyAlignment="1" applyProtection="1">
      <alignment wrapText="1"/>
      <protection locked="0"/>
    </xf>
    <xf numFmtId="0" fontId="26" fillId="6" borderId="51" xfId="0" applyFont="1" applyFill="1" applyBorder="1" applyAlignment="1" applyProtection="1">
      <alignment wrapText="1"/>
      <protection locked="0"/>
    </xf>
    <xf numFmtId="0" fontId="26" fillId="6" borderId="52" xfId="0" applyFont="1" applyFill="1" applyBorder="1" applyAlignment="1" applyProtection="1">
      <alignment wrapText="1"/>
      <protection locked="0"/>
    </xf>
    <xf numFmtId="0" fontId="9" fillId="0" borderId="21" xfId="0" applyFont="1" applyBorder="1" applyAlignment="1" applyProtection="1">
      <alignment wrapText="1"/>
      <protection locked="0"/>
    </xf>
    <xf numFmtId="0" fontId="9" fillId="0" borderId="30" xfId="0" applyFont="1" applyBorder="1" applyAlignment="1" applyProtection="1">
      <alignment wrapText="1"/>
      <protection locked="0"/>
    </xf>
    <xf numFmtId="0" fontId="26" fillId="6" borderId="21" xfId="0" applyFont="1" applyFill="1" applyBorder="1" applyAlignment="1" applyProtection="1">
      <alignment wrapText="1"/>
      <protection locked="0"/>
    </xf>
    <xf numFmtId="0" fontId="26" fillId="6" borderId="30" xfId="0" applyFont="1" applyFill="1" applyBorder="1" applyAlignment="1" applyProtection="1">
      <alignment wrapText="1"/>
      <protection locked="0"/>
    </xf>
    <xf numFmtId="0" fontId="26" fillId="0" borderId="51" xfId="0" applyFont="1" applyBorder="1" applyAlignment="1" applyProtection="1">
      <alignment wrapText="1"/>
      <protection locked="0"/>
    </xf>
    <xf numFmtId="0" fontId="13" fillId="0" borderId="0" xfId="0" applyFont="1"/>
    <xf numFmtId="0" fontId="0" fillId="0" borderId="0" xfId="0" applyAlignment="1">
      <alignment horizontal="right"/>
    </xf>
    <xf numFmtId="0" fontId="12" fillId="0" borderId="0" xfId="0" applyFont="1"/>
    <xf numFmtId="0" fontId="11" fillId="0" borderId="0" xfId="0" applyFont="1"/>
    <xf numFmtId="0" fontId="0" fillId="0" borderId="0" xfId="0" applyAlignment="1">
      <alignment wrapText="1"/>
    </xf>
    <xf numFmtId="0" fontId="0" fillId="0" borderId="33" xfId="0" applyBorder="1"/>
    <xf numFmtId="0" fontId="22" fillId="0" borderId="0" xfId="0" applyFont="1" applyAlignment="1">
      <alignment horizontal="center"/>
    </xf>
    <xf numFmtId="165" fontId="22" fillId="0" borderId="0" xfId="1" applyNumberFormat="1" applyFont="1" applyFill="1" applyBorder="1" applyAlignment="1" applyProtection="1"/>
    <xf numFmtId="165" fontId="0" fillId="0" borderId="0" xfId="0" applyNumberFormat="1"/>
    <xf numFmtId="165" fontId="20" fillId="0" borderId="0" xfId="1" applyNumberFormat="1" applyFont="1" applyFill="1" applyBorder="1" applyAlignment="1" applyProtection="1"/>
    <xf numFmtId="165" fontId="24" fillId="0" borderId="0" xfId="1" applyNumberFormat="1" applyFont="1" applyFill="1" applyBorder="1" applyAlignment="1" applyProtection="1"/>
    <xf numFmtId="165" fontId="22" fillId="2" borderId="0" xfId="1" applyNumberFormat="1" applyFont="1" applyFill="1" applyBorder="1" applyAlignment="1" applyProtection="1"/>
    <xf numFmtId="165" fontId="20" fillId="7" borderId="7" xfId="1" applyNumberFormat="1" applyFont="1" applyFill="1" applyBorder="1" applyAlignment="1" applyProtection="1"/>
    <xf numFmtId="165" fontId="20" fillId="7" borderId="11" xfId="1" applyNumberFormat="1" applyFont="1" applyFill="1" applyBorder="1" applyAlignment="1" applyProtection="1"/>
    <xf numFmtId="0" fontId="29" fillId="0" borderId="51" xfId="0" applyFont="1" applyBorder="1" applyAlignment="1" applyProtection="1">
      <alignment wrapText="1"/>
      <protection locked="0"/>
    </xf>
    <xf numFmtId="0" fontId="23" fillId="0" borderId="1" xfId="0" applyFont="1" applyBorder="1"/>
    <xf numFmtId="0" fontId="23" fillId="0" borderId="36" xfId="0" applyFont="1" applyBorder="1"/>
    <xf numFmtId="0" fontId="22" fillId="0" borderId="45" xfId="0" applyFont="1" applyBorder="1" applyAlignment="1">
      <alignment horizontal="center"/>
    </xf>
    <xf numFmtId="0" fontId="22" fillId="0" borderId="46" xfId="0" applyFont="1" applyBorder="1" applyAlignment="1">
      <alignment horizontal="center"/>
    </xf>
    <xf numFmtId="0" fontId="6" fillId="0" borderId="1" xfId="0" applyFont="1" applyBorder="1" applyAlignment="1">
      <alignment horizontal="center" vertical="center"/>
    </xf>
    <xf numFmtId="0" fontId="0" fillId="0" borderId="3" xfId="0" applyBorder="1"/>
    <xf numFmtId="0" fontId="23" fillId="0" borderId="3" xfId="0" applyFont="1" applyBorder="1" applyAlignment="1">
      <alignment horizontal="center" vertical="center" textRotation="90" wrapText="1"/>
    </xf>
    <xf numFmtId="0" fontId="17" fillId="0" borderId="0" xfId="0" applyFont="1" applyAlignment="1">
      <alignment horizontal="left" vertical="center" wrapText="1" indent="2"/>
    </xf>
    <xf numFmtId="0" fontId="17" fillId="0" borderId="34" xfId="0" applyFont="1" applyBorder="1" applyAlignment="1">
      <alignment horizontal="left" vertical="center" wrapText="1" indent="2"/>
    </xf>
    <xf numFmtId="0" fontId="0" fillId="0" borderId="69" xfId="0" applyBorder="1"/>
    <xf numFmtId="0" fontId="19" fillId="0" borderId="34" xfId="0" applyFont="1" applyBorder="1" applyAlignment="1">
      <alignment horizontal="left" vertical="center" indent="2"/>
    </xf>
    <xf numFmtId="0" fontId="23" fillId="0" borderId="43" xfId="0" applyFont="1" applyBorder="1" applyAlignment="1">
      <alignment horizontal="center" vertical="center" textRotation="90" wrapText="1"/>
    </xf>
    <xf numFmtId="0" fontId="6" fillId="0" borderId="0" xfId="0" applyFont="1" applyAlignment="1">
      <alignment vertical="center"/>
    </xf>
    <xf numFmtId="1" fontId="6" fillId="0" borderId="0" xfId="0" applyNumberFormat="1" applyFont="1" applyAlignment="1">
      <alignment horizontal="right" vertical="center"/>
    </xf>
    <xf numFmtId="0" fontId="23" fillId="0" borderId="42" xfId="0" applyFont="1" applyBorder="1"/>
    <xf numFmtId="0" fontId="6" fillId="0" borderId="25" xfId="0" applyFont="1" applyBorder="1"/>
    <xf numFmtId="0" fontId="6" fillId="0" borderId="33" xfId="0" applyFont="1" applyBorder="1"/>
    <xf numFmtId="0" fontId="0" fillId="3" borderId="69" xfId="0" applyFill="1" applyBorder="1"/>
    <xf numFmtId="0" fontId="6" fillId="3" borderId="77" xfId="0" applyFont="1" applyFill="1" applyBorder="1"/>
    <xf numFmtId="0" fontId="23" fillId="0" borderId="22" xfId="0" applyFont="1" applyBorder="1"/>
    <xf numFmtId="165" fontId="23" fillId="0" borderId="45" xfId="1" applyNumberFormat="1" applyFont="1" applyBorder="1" applyAlignment="1" applyProtection="1">
      <alignment horizontal="right"/>
    </xf>
    <xf numFmtId="165" fontId="23" fillId="0" borderId="46" xfId="1" applyNumberFormat="1" applyFont="1" applyBorder="1" applyAlignment="1" applyProtection="1">
      <alignment horizontal="right"/>
    </xf>
    <xf numFmtId="0" fontId="0" fillId="0" borderId="43" xfId="0" applyBorder="1"/>
    <xf numFmtId="0" fontId="0" fillId="0" borderId="20" xfId="0" applyBorder="1" applyAlignment="1">
      <alignment horizontal="left" vertical="center" indent="2"/>
    </xf>
    <xf numFmtId="0" fontId="23" fillId="0" borderId="0" xfId="0" applyFont="1" applyAlignment="1">
      <alignment vertical="center" textRotation="90" wrapText="1"/>
    </xf>
    <xf numFmtId="165" fontId="0" fillId="0" borderId="0" xfId="1" applyNumberFormat="1" applyFont="1" applyFill="1" applyBorder="1" applyAlignment="1" applyProtection="1">
      <alignment vertical="center"/>
    </xf>
    <xf numFmtId="165" fontId="23" fillId="0" borderId="0" xfId="0" applyNumberFormat="1" applyFont="1" applyAlignment="1">
      <alignment horizontal="center"/>
    </xf>
    <xf numFmtId="165" fontId="0" fillId="0" borderId="0" xfId="1" applyNumberFormat="1" applyFont="1" applyFill="1" applyBorder="1" applyProtection="1"/>
    <xf numFmtId="0" fontId="17" fillId="0" borderId="20" xfId="0" applyFont="1" applyBorder="1" applyAlignment="1">
      <alignment horizontal="left" vertical="center" wrapText="1" indent="2"/>
    </xf>
    <xf numFmtId="0" fontId="0" fillId="0" borderId="1" xfId="0" applyBorder="1"/>
    <xf numFmtId="0" fontId="0" fillId="0" borderId="34" xfId="0" applyBorder="1" applyAlignment="1">
      <alignment horizontal="left" vertical="center" indent="2"/>
    </xf>
    <xf numFmtId="165" fontId="6" fillId="0" borderId="0" xfId="1" applyNumberFormat="1" applyFont="1" applyFill="1" applyBorder="1" applyProtection="1"/>
    <xf numFmtId="165" fontId="0" fillId="0" borderId="0" xfId="1" applyNumberFormat="1" applyFont="1" applyBorder="1" applyAlignment="1" applyProtection="1">
      <alignment vertical="center"/>
    </xf>
    <xf numFmtId="165" fontId="23" fillId="0" borderId="0" xfId="1" applyNumberFormat="1" applyFont="1" applyFill="1" applyBorder="1" applyAlignment="1" applyProtection="1"/>
    <xf numFmtId="165" fontId="6" fillId="0" borderId="0" xfId="0" applyNumberFormat="1" applyFont="1"/>
    <xf numFmtId="0" fontId="6" fillId="3" borderId="77" xfId="0" applyFont="1" applyFill="1" applyBorder="1" applyAlignment="1">
      <alignment vertical="center"/>
    </xf>
    <xf numFmtId="0" fontId="22" fillId="0" borderId="23" xfId="0" applyFont="1" applyBorder="1" applyAlignment="1">
      <alignment horizontal="center"/>
    </xf>
    <xf numFmtId="0" fontId="22" fillId="0" borderId="80" xfId="0" applyFont="1" applyBorder="1" applyAlignment="1">
      <alignment horizontal="center"/>
    </xf>
    <xf numFmtId="0" fontId="0" fillId="0" borderId="25" xfId="0" applyBorder="1"/>
    <xf numFmtId="0" fontId="6" fillId="0" borderId="82" xfId="0" applyFont="1" applyBorder="1" applyAlignment="1">
      <alignment vertical="center"/>
    </xf>
    <xf numFmtId="43" fontId="63" fillId="7" borderId="7" xfId="1" applyFont="1" applyFill="1" applyBorder="1" applyAlignment="1" applyProtection="1">
      <alignment horizontal="center"/>
    </xf>
    <xf numFmtId="165" fontId="64" fillId="2" borderId="85" xfId="1" applyNumberFormat="1" applyFont="1" applyFill="1" applyBorder="1" applyAlignment="1" applyProtection="1">
      <alignment horizontal="center" wrapText="1"/>
    </xf>
    <xf numFmtId="0" fontId="0" fillId="6" borderId="19" xfId="0" applyFill="1" applyBorder="1" applyProtection="1">
      <protection locked="0"/>
    </xf>
    <xf numFmtId="0" fontId="0" fillId="6" borderId="17" xfId="0" applyFill="1" applyBorder="1" applyProtection="1">
      <protection locked="0"/>
    </xf>
    <xf numFmtId="0" fontId="0" fillId="6" borderId="9" xfId="0" applyFill="1" applyBorder="1" applyProtection="1">
      <protection locked="0"/>
    </xf>
    <xf numFmtId="43" fontId="20" fillId="6" borderId="17" xfId="1" applyFont="1" applyFill="1" applyBorder="1" applyAlignment="1" applyProtection="1">
      <protection locked="0"/>
    </xf>
    <xf numFmtId="165" fontId="20" fillId="6" borderId="17" xfId="1" applyNumberFormat="1" applyFont="1" applyFill="1" applyBorder="1" applyAlignment="1" applyProtection="1">
      <protection locked="0"/>
    </xf>
    <xf numFmtId="165" fontId="9" fillId="0" borderId="0" xfId="1" applyNumberFormat="1" applyFont="1" applyFill="1" applyBorder="1" applyAlignment="1" applyProtection="1">
      <alignment horizontal="center"/>
    </xf>
    <xf numFmtId="165" fontId="20" fillId="0" borderId="0" xfId="1" applyNumberFormat="1" applyFont="1" applyFill="1" applyBorder="1" applyAlignment="1" applyProtection="1">
      <alignment horizontal="center"/>
    </xf>
    <xf numFmtId="43" fontId="63" fillId="7" borderId="11" xfId="1" applyFont="1" applyFill="1" applyBorder="1" applyAlignment="1" applyProtection="1">
      <alignment horizontal="center"/>
    </xf>
    <xf numFmtId="0" fontId="9" fillId="6" borderId="19" xfId="0" applyFont="1" applyFill="1" applyBorder="1" applyProtection="1">
      <protection locked="0"/>
    </xf>
    <xf numFmtId="0" fontId="9" fillId="6" borderId="90" xfId="0" applyFont="1" applyFill="1" applyBorder="1" applyProtection="1">
      <protection locked="0"/>
    </xf>
    <xf numFmtId="0" fontId="9" fillId="6" borderId="17" xfId="0" applyFont="1" applyFill="1" applyBorder="1" applyProtection="1">
      <protection locked="0"/>
    </xf>
    <xf numFmtId="0" fontId="9" fillId="6" borderId="9" xfId="0" applyFont="1" applyFill="1" applyBorder="1" applyProtection="1">
      <protection locked="0"/>
    </xf>
    <xf numFmtId="43" fontId="9" fillId="7" borderId="7" xfId="1" applyFont="1" applyFill="1" applyBorder="1" applyAlignment="1" applyProtection="1">
      <alignment horizontal="center"/>
    </xf>
    <xf numFmtId="165" fontId="9" fillId="6" borderId="4" xfId="1" applyNumberFormat="1" applyFont="1" applyFill="1" applyBorder="1" applyAlignment="1" applyProtection="1">
      <protection locked="0"/>
    </xf>
    <xf numFmtId="165" fontId="65" fillId="2" borderId="93" xfId="1" applyNumberFormat="1" applyFont="1" applyFill="1" applyBorder="1" applyAlignment="1" applyProtection="1">
      <alignment horizontal="center" wrapText="1"/>
    </xf>
    <xf numFmtId="165" fontId="20" fillId="2" borderId="0" xfId="1" applyNumberFormat="1" applyFont="1" applyFill="1" applyBorder="1" applyAlignment="1" applyProtection="1"/>
    <xf numFmtId="165" fontId="9" fillId="2" borderId="0" xfId="1" applyNumberFormat="1" applyFont="1" applyFill="1" applyBorder="1" applyAlignment="1" applyProtection="1">
      <alignment horizontal="center"/>
    </xf>
    <xf numFmtId="165" fontId="9" fillId="2" borderId="0" xfId="1" applyNumberFormat="1" applyFont="1" applyFill="1" applyBorder="1" applyAlignment="1" applyProtection="1"/>
    <xf numFmtId="43" fontId="9" fillId="7" borderId="11" xfId="1" applyFont="1" applyFill="1" applyBorder="1" applyAlignment="1" applyProtection="1">
      <alignment horizontal="center"/>
    </xf>
    <xf numFmtId="165" fontId="9" fillId="6" borderId="94" xfId="1" applyNumberFormat="1" applyFont="1" applyFill="1" applyBorder="1" applyAlignment="1" applyProtection="1">
      <protection locked="0"/>
    </xf>
    <xf numFmtId="165" fontId="9" fillId="6" borderId="95" xfId="1" applyNumberFormat="1" applyFont="1" applyFill="1" applyBorder="1" applyAlignment="1" applyProtection="1">
      <protection locked="0"/>
    </xf>
    <xf numFmtId="43" fontId="20" fillId="2" borderId="0" xfId="1" applyFont="1" applyFill="1" applyBorder="1" applyAlignment="1" applyProtection="1"/>
    <xf numFmtId="165" fontId="9" fillId="8" borderId="94" xfId="1" applyNumberFormat="1" applyFont="1" applyFill="1" applyBorder="1" applyAlignment="1" applyProtection="1">
      <alignment horizontal="center"/>
      <protection locked="0"/>
    </xf>
    <xf numFmtId="0" fontId="62" fillId="0" borderId="0" xfId="0" applyFont="1"/>
    <xf numFmtId="43" fontId="9" fillId="8" borderId="94" xfId="1" applyFont="1" applyFill="1" applyBorder="1" applyAlignment="1" applyProtection="1">
      <alignment horizontal="center"/>
      <protection locked="0"/>
    </xf>
    <xf numFmtId="9" fontId="0" fillId="0" borderId="60" xfId="0" applyNumberFormat="1" applyBorder="1"/>
    <xf numFmtId="167" fontId="0" fillId="0" borderId="60" xfId="0" applyNumberFormat="1" applyBorder="1"/>
    <xf numFmtId="170" fontId="36" fillId="11" borderId="55" xfId="0" applyNumberFormat="1" applyFont="1" applyFill="1" applyBorder="1" applyAlignment="1">
      <alignment vertical="center" wrapText="1"/>
    </xf>
    <xf numFmtId="166" fontId="36" fillId="11" borderId="56" xfId="0" applyNumberFormat="1" applyFont="1" applyFill="1" applyBorder="1" applyAlignment="1">
      <alignment vertical="center" wrapText="1"/>
    </xf>
    <xf numFmtId="166" fontId="36" fillId="0" borderId="55" xfId="0" applyNumberFormat="1" applyFont="1" applyBorder="1" applyAlignment="1">
      <alignment vertical="center" wrapText="1"/>
    </xf>
    <xf numFmtId="166" fontId="36" fillId="0" borderId="56" xfId="0" applyNumberFormat="1" applyFont="1" applyBorder="1" applyAlignment="1">
      <alignment vertical="center" wrapText="1"/>
    </xf>
    <xf numFmtId="166" fontId="43" fillId="0" borderId="73" xfId="2" applyNumberFormat="1" applyFont="1" applyBorder="1" applyAlignment="1">
      <alignment horizontal="right"/>
    </xf>
    <xf numFmtId="166" fontId="36" fillId="0" borderId="54" xfId="0" applyNumberFormat="1" applyFont="1" applyBorder="1" applyAlignment="1">
      <alignment vertical="center" wrapText="1"/>
    </xf>
    <xf numFmtId="166" fontId="36" fillId="0" borderId="58" xfId="0" applyNumberFormat="1" applyFont="1" applyBorder="1" applyAlignment="1">
      <alignment vertical="center" wrapText="1"/>
    </xf>
    <xf numFmtId="0" fontId="26" fillId="6" borderId="15" xfId="0" applyFont="1" applyFill="1" applyBorder="1" applyAlignment="1" applyProtection="1">
      <alignment wrapText="1"/>
      <protection locked="0"/>
    </xf>
    <xf numFmtId="0" fontId="26" fillId="6" borderId="16" xfId="0" applyFont="1" applyFill="1" applyBorder="1" applyAlignment="1" applyProtection="1">
      <alignment wrapText="1"/>
      <protection locked="0"/>
    </xf>
    <xf numFmtId="2" fontId="26" fillId="6" borderId="15" xfId="0" applyNumberFormat="1" applyFont="1" applyFill="1" applyBorder="1" applyAlignment="1" applyProtection="1">
      <alignment wrapText="1"/>
      <protection locked="0"/>
    </xf>
    <xf numFmtId="2" fontId="26" fillId="6" borderId="16" xfId="0" applyNumberFormat="1" applyFont="1" applyFill="1" applyBorder="1" applyAlignment="1" applyProtection="1">
      <alignment wrapText="1"/>
      <protection locked="0"/>
    </xf>
    <xf numFmtId="0" fontId="53" fillId="6" borderId="3" xfId="0" applyFont="1" applyFill="1" applyBorder="1" applyAlignment="1" applyProtection="1">
      <alignment horizontal="left" wrapText="1"/>
      <protection locked="0"/>
    </xf>
    <xf numFmtId="0" fontId="20" fillId="6" borderId="15" xfId="0" applyFont="1" applyFill="1" applyBorder="1" applyAlignment="1" applyProtection="1">
      <alignment wrapText="1"/>
      <protection locked="0"/>
    </xf>
    <xf numFmtId="0" fontId="20" fillId="6" borderId="16" xfId="0" applyFont="1" applyFill="1" applyBorder="1" applyAlignment="1" applyProtection="1">
      <alignment wrapText="1"/>
      <protection locked="0"/>
    </xf>
    <xf numFmtId="165" fontId="20" fillId="8" borderId="7" xfId="1" applyNumberFormat="1" applyFont="1" applyFill="1" applyBorder="1" applyAlignment="1" applyProtection="1">
      <alignment wrapText="1"/>
      <protection locked="0"/>
    </xf>
    <xf numFmtId="165" fontId="20" fillId="6" borderId="37" xfId="1" applyNumberFormat="1" applyFont="1" applyFill="1" applyBorder="1" applyAlignment="1" applyProtection="1">
      <alignment wrapText="1"/>
      <protection locked="0"/>
    </xf>
    <xf numFmtId="165" fontId="20" fillId="8" borderId="9" xfId="1" applyNumberFormat="1" applyFont="1" applyFill="1" applyBorder="1" applyAlignment="1" applyProtection="1">
      <alignment wrapText="1"/>
      <protection locked="0"/>
    </xf>
    <xf numFmtId="165" fontId="20" fillId="6" borderId="38" xfId="1" applyNumberFormat="1" applyFont="1" applyFill="1" applyBorder="1" applyAlignment="1" applyProtection="1">
      <alignment wrapText="1"/>
      <protection locked="0"/>
    </xf>
    <xf numFmtId="165" fontId="20" fillId="6" borderId="9" xfId="1" applyNumberFormat="1" applyFont="1" applyFill="1" applyBorder="1" applyAlignment="1" applyProtection="1">
      <alignment wrapText="1"/>
      <protection locked="0"/>
    </xf>
    <xf numFmtId="165" fontId="20" fillId="6" borderId="47" xfId="1" applyNumberFormat="1" applyFont="1" applyFill="1" applyBorder="1" applyAlignment="1" applyProtection="1">
      <alignment wrapText="1"/>
      <protection locked="0"/>
    </xf>
    <xf numFmtId="165" fontId="20" fillId="6" borderId="9" xfId="1" applyNumberFormat="1" applyFont="1" applyFill="1" applyBorder="1" applyAlignment="1" applyProtection="1">
      <alignment horizontal="center" wrapText="1"/>
      <protection locked="0"/>
    </xf>
    <xf numFmtId="165" fontId="20" fillId="6" borderId="47" xfId="1" applyNumberFormat="1" applyFont="1" applyFill="1" applyBorder="1" applyAlignment="1" applyProtection="1">
      <alignment horizontal="center" wrapText="1"/>
      <protection locked="0"/>
    </xf>
    <xf numFmtId="1" fontId="20" fillId="13" borderId="15" xfId="1" applyNumberFormat="1" applyFont="1" applyFill="1" applyBorder="1" applyAlignment="1" applyProtection="1">
      <alignment horizontal="center" wrapText="1"/>
    </xf>
    <xf numFmtId="1" fontId="20" fillId="13" borderId="7" xfId="1" applyNumberFormat="1" applyFont="1" applyFill="1" applyBorder="1" applyAlignment="1" applyProtection="1">
      <alignment horizontal="center" wrapText="1"/>
    </xf>
    <xf numFmtId="1" fontId="20" fillId="13" borderId="16" xfId="1" applyNumberFormat="1" applyFont="1" applyFill="1" applyBorder="1" applyAlignment="1" applyProtection="1">
      <alignment horizontal="center" wrapText="1"/>
    </xf>
    <xf numFmtId="1" fontId="20" fillId="13" borderId="9" xfId="1" applyNumberFormat="1" applyFont="1" applyFill="1" applyBorder="1" applyAlignment="1" applyProtection="1">
      <alignment horizontal="center" wrapText="1"/>
    </xf>
    <xf numFmtId="165" fontId="9" fillId="7" borderId="19" xfId="1" applyNumberFormat="1" applyFont="1" applyFill="1" applyBorder="1" applyAlignment="1" applyProtection="1">
      <alignment horizontal="center" wrapText="1"/>
    </xf>
    <xf numFmtId="165" fontId="9" fillId="7" borderId="7" xfId="1" applyNumberFormat="1" applyFont="1" applyFill="1" applyBorder="1" applyAlignment="1" applyProtection="1">
      <alignment horizontal="center" wrapText="1"/>
    </xf>
    <xf numFmtId="165" fontId="9" fillId="7" borderId="11" xfId="1" applyNumberFormat="1" applyFont="1" applyFill="1" applyBorder="1" applyAlignment="1" applyProtection="1">
      <alignment horizontal="center" wrapText="1"/>
    </xf>
    <xf numFmtId="167" fontId="54" fillId="6" borderId="15" xfId="0" applyNumberFormat="1" applyFont="1" applyFill="1" applyBorder="1" applyAlignment="1" applyProtection="1">
      <alignment wrapText="1"/>
      <protection locked="0"/>
    </xf>
    <xf numFmtId="165" fontId="9" fillId="7" borderId="9" xfId="1" applyNumberFormat="1" applyFont="1" applyFill="1" applyBorder="1" applyAlignment="1" applyProtection="1">
      <alignment horizontal="center" wrapText="1"/>
    </xf>
    <xf numFmtId="165" fontId="9" fillId="7" borderId="47" xfId="1" applyNumberFormat="1" applyFont="1" applyFill="1" applyBorder="1" applyAlignment="1" applyProtection="1">
      <alignment horizontal="center" wrapText="1"/>
    </xf>
    <xf numFmtId="43" fontId="20" fillId="6" borderId="7" xfId="1" applyFont="1" applyFill="1" applyBorder="1" applyAlignment="1" applyProtection="1">
      <alignment wrapText="1"/>
      <protection locked="0"/>
    </xf>
    <xf numFmtId="43" fontId="20" fillId="6" borderId="11" xfId="1" applyFont="1" applyFill="1" applyBorder="1" applyAlignment="1" applyProtection="1">
      <alignment wrapText="1"/>
      <protection locked="0"/>
    </xf>
    <xf numFmtId="43" fontId="20" fillId="6" borderId="13" xfId="1" applyFont="1" applyFill="1" applyBorder="1" applyAlignment="1" applyProtection="1">
      <alignment wrapText="1"/>
      <protection locked="0"/>
    </xf>
    <xf numFmtId="43" fontId="20" fillId="6" borderId="4" xfId="1" applyFont="1" applyFill="1" applyBorder="1" applyAlignment="1" applyProtection="1">
      <alignment wrapText="1"/>
      <protection locked="0"/>
    </xf>
    <xf numFmtId="43" fontId="20" fillId="6" borderId="9" xfId="1" applyFont="1" applyFill="1" applyBorder="1" applyAlignment="1" applyProtection="1">
      <alignment wrapText="1"/>
      <protection locked="0"/>
    </xf>
    <xf numFmtId="43" fontId="20" fillId="6" borderId="47" xfId="1" applyFont="1" applyFill="1" applyBorder="1" applyAlignment="1" applyProtection="1">
      <alignment wrapText="1"/>
      <protection locked="0"/>
    </xf>
    <xf numFmtId="165" fontId="20" fillId="7" borderId="9" xfId="1" applyNumberFormat="1" applyFont="1" applyFill="1" applyBorder="1" applyAlignment="1" applyProtection="1">
      <alignment wrapText="1"/>
    </xf>
    <xf numFmtId="165" fontId="20" fillId="7" borderId="47" xfId="1" applyNumberFormat="1" applyFont="1" applyFill="1" applyBorder="1" applyAlignment="1" applyProtection="1">
      <alignment wrapText="1"/>
    </xf>
    <xf numFmtId="165" fontId="9" fillId="8" borderId="39" xfId="1" applyNumberFormat="1" applyFont="1" applyFill="1" applyBorder="1" applyAlignment="1" applyProtection="1">
      <alignment horizontal="center" wrapText="1"/>
      <protection locked="0"/>
    </xf>
    <xf numFmtId="165" fontId="20" fillId="7" borderId="7" xfId="1" applyNumberFormat="1" applyFont="1" applyFill="1" applyBorder="1" applyAlignment="1" applyProtection="1">
      <alignment horizontal="center" wrapText="1"/>
    </xf>
    <xf numFmtId="165" fontId="20" fillId="6" borderId="19" xfId="1" applyNumberFormat="1" applyFont="1" applyFill="1" applyBorder="1" applyAlignment="1" applyProtection="1">
      <alignment wrapText="1"/>
      <protection locked="0"/>
    </xf>
    <xf numFmtId="165" fontId="20" fillId="6" borderId="7" xfId="1" applyNumberFormat="1" applyFont="1" applyFill="1" applyBorder="1" applyAlignment="1" applyProtection="1">
      <alignment horizontal="left" wrapText="1"/>
      <protection locked="0"/>
    </xf>
    <xf numFmtId="165" fontId="20" fillId="6" borderId="10" xfId="1" applyNumberFormat="1" applyFont="1" applyFill="1" applyBorder="1" applyAlignment="1" applyProtection="1">
      <alignment wrapText="1"/>
      <protection locked="0"/>
    </xf>
    <xf numFmtId="165" fontId="9" fillId="8" borderId="38" xfId="1" applyNumberFormat="1" applyFont="1" applyFill="1" applyBorder="1" applyAlignment="1" applyProtection="1">
      <alignment horizontal="center" wrapText="1"/>
      <protection locked="0"/>
    </xf>
    <xf numFmtId="165" fontId="20" fillId="7" borderId="11" xfId="1" applyNumberFormat="1" applyFont="1" applyFill="1" applyBorder="1" applyAlignment="1" applyProtection="1">
      <alignment horizontal="center" wrapText="1"/>
    </xf>
    <xf numFmtId="165" fontId="20" fillId="6" borderId="35" xfId="1" applyNumberFormat="1" applyFont="1" applyFill="1" applyBorder="1" applyAlignment="1" applyProtection="1">
      <alignment wrapText="1"/>
      <protection locked="0"/>
    </xf>
    <xf numFmtId="165" fontId="20" fillId="6" borderId="11" xfId="1" applyNumberFormat="1" applyFont="1" applyFill="1" applyBorder="1" applyAlignment="1" applyProtection="1">
      <alignment horizontal="left" wrapText="1"/>
      <protection locked="0"/>
    </xf>
    <xf numFmtId="43" fontId="20" fillId="6" borderId="8" xfId="1" applyFont="1" applyFill="1" applyBorder="1" applyAlignment="1" applyProtection="1">
      <alignment wrapText="1"/>
      <protection locked="0"/>
    </xf>
    <xf numFmtId="43" fontId="20" fillId="6" borderId="10" xfId="1" applyFont="1" applyFill="1" applyBorder="1" applyAlignment="1" applyProtection="1">
      <alignment wrapText="1"/>
      <protection locked="0"/>
    </xf>
    <xf numFmtId="166" fontId="54" fillId="6" borderId="15" xfId="0" applyNumberFormat="1" applyFont="1" applyFill="1" applyBorder="1" applyAlignment="1" applyProtection="1">
      <alignment wrapText="1"/>
      <protection locked="0"/>
    </xf>
    <xf numFmtId="2" fontId="20" fillId="6" borderId="9" xfId="0" applyNumberFormat="1" applyFont="1" applyFill="1" applyBorder="1" applyAlignment="1" applyProtection="1">
      <alignment wrapText="1"/>
      <protection locked="0"/>
    </xf>
    <xf numFmtId="2" fontId="20" fillId="6" borderId="47" xfId="0" applyNumberFormat="1" applyFont="1" applyFill="1" applyBorder="1" applyAlignment="1" applyProtection="1">
      <alignment wrapText="1"/>
      <protection locked="0"/>
    </xf>
    <xf numFmtId="169" fontId="20" fillId="13" borderId="16" xfId="1" applyNumberFormat="1" applyFont="1" applyFill="1" applyBorder="1" applyAlignment="1" applyProtection="1">
      <alignment wrapText="1"/>
    </xf>
    <xf numFmtId="169" fontId="20" fillId="13" borderId="9" xfId="1" applyNumberFormat="1" applyFont="1" applyFill="1" applyBorder="1" applyAlignment="1" applyProtection="1">
      <alignment wrapText="1"/>
    </xf>
    <xf numFmtId="165" fontId="20" fillId="3" borderId="7" xfId="1" applyNumberFormat="1" applyFont="1" applyFill="1" applyBorder="1" applyAlignment="1" applyProtection="1">
      <alignment wrapText="1"/>
    </xf>
    <xf numFmtId="165" fontId="20" fillId="3" borderId="11" xfId="1" applyNumberFormat="1" applyFont="1" applyFill="1" applyBorder="1" applyAlignment="1" applyProtection="1">
      <alignment wrapText="1"/>
    </xf>
    <xf numFmtId="165" fontId="20" fillId="0" borderId="13" xfId="1" applyNumberFormat="1" applyFont="1" applyFill="1" applyBorder="1" applyAlignment="1" applyProtection="1">
      <alignment wrapText="1"/>
      <protection locked="0"/>
    </xf>
    <xf numFmtId="165" fontId="20" fillId="0" borderId="4" xfId="1" applyNumberFormat="1" applyFont="1" applyFill="1" applyBorder="1" applyAlignment="1" applyProtection="1">
      <alignment wrapText="1"/>
      <protection locked="0"/>
    </xf>
    <xf numFmtId="165" fontId="20" fillId="0" borderId="9" xfId="1" applyNumberFormat="1" applyFont="1" applyFill="1" applyBorder="1" applyAlignment="1" applyProtection="1">
      <alignment wrapText="1"/>
      <protection locked="0"/>
    </xf>
    <xf numFmtId="165" fontId="20" fillId="0" borderId="47" xfId="1" applyNumberFormat="1" applyFont="1" applyFill="1" applyBorder="1" applyAlignment="1" applyProtection="1">
      <alignment wrapText="1"/>
      <protection locked="0"/>
    </xf>
    <xf numFmtId="43" fontId="20" fillId="6" borderId="32" xfId="1" applyFont="1" applyFill="1" applyBorder="1" applyAlignment="1" applyProtection="1">
      <alignment wrapText="1"/>
      <protection locked="0"/>
    </xf>
    <xf numFmtId="165" fontId="20" fillId="6" borderId="12" xfId="1" applyNumberFormat="1" applyFont="1" applyFill="1" applyBorder="1" applyAlignment="1" applyProtection="1">
      <alignment wrapText="1"/>
      <protection locked="0"/>
    </xf>
    <xf numFmtId="165" fontId="20" fillId="6" borderId="72" xfId="1" applyNumberFormat="1" applyFont="1" applyFill="1" applyBorder="1" applyAlignment="1" applyProtection="1">
      <alignment wrapText="1"/>
      <protection locked="0"/>
    </xf>
    <xf numFmtId="165" fontId="9" fillId="6" borderId="39" xfId="1" applyNumberFormat="1" applyFont="1" applyFill="1" applyBorder="1" applyAlignment="1" applyProtection="1">
      <alignment horizontal="center" wrapText="1"/>
      <protection locked="0"/>
    </xf>
    <xf numFmtId="165" fontId="20" fillId="7" borderId="7" xfId="1" applyNumberFormat="1" applyFont="1" applyFill="1" applyBorder="1" applyAlignment="1" applyProtection="1">
      <alignment wrapText="1"/>
    </xf>
    <xf numFmtId="165" fontId="20" fillId="7" borderId="11" xfId="1" applyNumberFormat="1" applyFont="1" applyFill="1" applyBorder="1" applyAlignment="1" applyProtection="1">
      <alignment wrapText="1"/>
    </xf>
    <xf numFmtId="165" fontId="20" fillId="7" borderId="12" xfId="1" applyNumberFormat="1" applyFont="1" applyFill="1" applyBorder="1" applyAlignment="1" applyProtection="1">
      <alignment wrapText="1"/>
    </xf>
    <xf numFmtId="165" fontId="20" fillId="7" borderId="72" xfId="1" applyNumberFormat="1" applyFont="1" applyFill="1" applyBorder="1" applyAlignment="1" applyProtection="1">
      <alignment wrapText="1"/>
    </xf>
    <xf numFmtId="0" fontId="30" fillId="0" borderId="0" xfId="0" applyFont="1" applyAlignment="1">
      <alignment wrapText="1"/>
    </xf>
    <xf numFmtId="1" fontId="0" fillId="0" borderId="0" xfId="0" applyNumberFormat="1"/>
    <xf numFmtId="0" fontId="23" fillId="0" borderId="0" xfId="1" applyNumberFormat="1" applyFont="1" applyBorder="1" applyAlignment="1" applyProtection="1">
      <alignment horizontal="right" vertical="center"/>
    </xf>
    <xf numFmtId="0" fontId="23" fillId="0" borderId="0" xfId="0" applyFont="1" applyAlignment="1">
      <alignment vertical="center"/>
    </xf>
    <xf numFmtId="0" fontId="6" fillId="15" borderId="1" xfId="0" applyFont="1" applyFill="1" applyBorder="1"/>
    <xf numFmtId="0" fontId="6" fillId="15" borderId="36" xfId="0" applyFont="1" applyFill="1" applyBorder="1"/>
    <xf numFmtId="0" fontId="0" fillId="15" borderId="45" xfId="0" applyFill="1" applyBorder="1" applyAlignment="1">
      <alignment horizontal="center"/>
    </xf>
    <xf numFmtId="0" fontId="0" fillId="15" borderId="46" xfId="0" applyFill="1" applyBorder="1" applyAlignment="1">
      <alignment horizontal="center"/>
    </xf>
    <xf numFmtId="0" fontId="6" fillId="15" borderId="1" xfId="0" applyFont="1" applyFill="1" applyBorder="1" applyAlignment="1">
      <alignment horizontal="center" vertical="center"/>
    </xf>
    <xf numFmtId="0" fontId="6" fillId="15" borderId="22" xfId="0" applyFont="1" applyFill="1" applyBorder="1" applyAlignment="1">
      <alignment vertical="center"/>
    </xf>
    <xf numFmtId="165" fontId="6" fillId="15" borderId="22" xfId="1" applyNumberFormat="1" applyFont="1" applyFill="1" applyBorder="1" applyAlignment="1" applyProtection="1">
      <alignment horizontal="right" vertical="center"/>
    </xf>
    <xf numFmtId="0" fontId="0" fillId="15" borderId="3" xfId="0" applyFill="1" applyBorder="1"/>
    <xf numFmtId="0" fontId="6" fillId="15" borderId="20" xfId="0" applyFont="1" applyFill="1" applyBorder="1" applyAlignment="1">
      <alignment vertical="center"/>
    </xf>
    <xf numFmtId="0" fontId="0" fillId="15" borderId="69" xfId="0" applyFill="1" applyBorder="1"/>
    <xf numFmtId="0" fontId="6" fillId="15" borderId="77" xfId="0" applyFont="1" applyFill="1" applyBorder="1" applyAlignment="1">
      <alignment vertical="center"/>
    </xf>
    <xf numFmtId="0" fontId="0" fillId="15" borderId="20" xfId="0" applyFill="1" applyBorder="1" applyAlignment="1">
      <alignment horizontal="left" vertical="center"/>
    </xf>
    <xf numFmtId="0" fontId="23" fillId="16" borderId="25" xfId="0" applyFont="1" applyFill="1" applyBorder="1"/>
    <xf numFmtId="0" fontId="23" fillId="16" borderId="82" xfId="0" applyFont="1" applyFill="1" applyBorder="1"/>
    <xf numFmtId="0" fontId="22" fillId="16" borderId="83" xfId="0" applyFont="1" applyFill="1" applyBorder="1" applyAlignment="1">
      <alignment horizontal="center"/>
    </xf>
    <xf numFmtId="0" fontId="22" fillId="16" borderId="26" xfId="0" applyFont="1" applyFill="1" applyBorder="1" applyAlignment="1">
      <alignment horizontal="center"/>
    </xf>
    <xf numFmtId="0" fontId="6" fillId="16" borderId="3" xfId="0" applyFont="1" applyFill="1" applyBorder="1" applyAlignment="1">
      <alignment horizontal="center" vertical="center"/>
    </xf>
    <xf numFmtId="0" fontId="0" fillId="16" borderId="3" xfId="0" applyFill="1" applyBorder="1"/>
    <xf numFmtId="0" fontId="0" fillId="16" borderId="1" xfId="0" applyFill="1" applyBorder="1"/>
    <xf numFmtId="0" fontId="6" fillId="16" borderId="36" xfId="0" applyFont="1" applyFill="1" applyBorder="1" applyAlignment="1">
      <alignment vertical="center"/>
    </xf>
    <xf numFmtId="0" fontId="0" fillId="16" borderId="69" xfId="0" applyFill="1" applyBorder="1"/>
    <xf numFmtId="0" fontId="6" fillId="16" borderId="66" xfId="0" applyFont="1" applyFill="1" applyBorder="1" applyAlignment="1">
      <alignment vertical="center"/>
    </xf>
    <xf numFmtId="0" fontId="23" fillId="0" borderId="0" xfId="0" applyFont="1"/>
    <xf numFmtId="0" fontId="6" fillId="0" borderId="0" xfId="0" applyFont="1" applyAlignment="1">
      <alignment horizontal="center" vertical="center"/>
    </xf>
    <xf numFmtId="0" fontId="0" fillId="2" borderId="0" xfId="0" applyFill="1"/>
    <xf numFmtId="0" fontId="6" fillId="2" borderId="0" xfId="0" applyFont="1" applyFill="1" applyAlignment="1">
      <alignment vertical="center"/>
    </xf>
    <xf numFmtId="0" fontId="23" fillId="2" borderId="0" xfId="1" applyNumberFormat="1" applyFont="1" applyFill="1" applyBorder="1" applyAlignment="1" applyProtection="1">
      <alignment horizontal="right" vertical="center"/>
    </xf>
    <xf numFmtId="0" fontId="23" fillId="0" borderId="3" xfId="0" applyFont="1" applyBorder="1" applyAlignment="1">
      <alignment vertical="center" textRotation="90" wrapText="1"/>
    </xf>
    <xf numFmtId="0" fontId="6" fillId="0" borderId="0" xfId="0" applyFont="1" applyAlignment="1">
      <alignment vertical="center" wrapText="1"/>
    </xf>
    <xf numFmtId="165" fontId="6" fillId="0" borderId="0" xfId="1" applyNumberFormat="1" applyFont="1" applyBorder="1" applyAlignment="1" applyProtection="1">
      <alignment vertical="center"/>
    </xf>
    <xf numFmtId="0" fontId="27" fillId="2" borderId="0" xfId="0" applyFont="1" applyFill="1" applyAlignment="1">
      <alignment vertical="center"/>
    </xf>
    <xf numFmtId="0" fontId="27" fillId="2" borderId="0" xfId="0" applyFont="1" applyFill="1"/>
    <xf numFmtId="0" fontId="28" fillId="2" borderId="0" xfId="0" applyFont="1" applyFill="1" applyAlignment="1">
      <alignment horizontal="center"/>
    </xf>
    <xf numFmtId="0" fontId="27" fillId="2" borderId="0" xfId="0" applyFont="1" applyFill="1" applyAlignment="1">
      <alignment horizontal="center" vertical="center"/>
    </xf>
    <xf numFmtId="0" fontId="28" fillId="2" borderId="0" xfId="1" applyNumberFormat="1" applyFont="1" applyFill="1" applyBorder="1" applyAlignment="1" applyProtection="1">
      <alignment horizontal="right" vertical="center"/>
    </xf>
    <xf numFmtId="0" fontId="28" fillId="2" borderId="0" xfId="0" applyFont="1" applyFill="1"/>
    <xf numFmtId="165" fontId="6" fillId="15" borderId="2" xfId="1" applyNumberFormat="1" applyFont="1" applyFill="1" applyBorder="1" applyAlignment="1" applyProtection="1">
      <alignment horizontal="right" vertical="center"/>
    </xf>
    <xf numFmtId="0" fontId="22" fillId="0" borderId="0" xfId="0" applyFont="1" applyAlignment="1">
      <alignment horizontal="left" vertical="center" wrapText="1" indent="2"/>
    </xf>
    <xf numFmtId="0" fontId="55" fillId="0" borderId="0" xfId="0" applyFont="1"/>
    <xf numFmtId="0" fontId="0" fillId="0" borderId="0" xfId="0" applyAlignment="1">
      <alignment horizontal="left" vertical="center" indent="2"/>
    </xf>
    <xf numFmtId="0" fontId="55" fillId="0" borderId="0" xfId="0" applyFont="1" applyAlignment="1">
      <alignment horizontal="left"/>
    </xf>
    <xf numFmtId="0" fontId="0" fillId="0" borderId="0" xfId="0" applyAlignment="1">
      <alignment horizontal="left" vertical="center" wrapText="1" indent="2"/>
    </xf>
    <xf numFmtId="0" fontId="0" fillId="16" borderId="25" xfId="0" applyFill="1" applyBorder="1"/>
    <xf numFmtId="0" fontId="6" fillId="16" borderId="33" xfId="0" applyFont="1" applyFill="1" applyBorder="1" applyAlignment="1">
      <alignment vertical="center"/>
    </xf>
    <xf numFmtId="0" fontId="23" fillId="0" borderId="69" xfId="0" applyFont="1" applyBorder="1" applyAlignment="1">
      <alignment vertical="center" textRotation="90" wrapText="1"/>
    </xf>
    <xf numFmtId="171" fontId="0" fillId="0" borderId="41" xfId="0" applyNumberFormat="1" applyBorder="1" applyAlignment="1">
      <alignment horizontal="right" vertical="center"/>
    </xf>
    <xf numFmtId="171" fontId="0" fillId="0" borderId="44" xfId="0" applyNumberFormat="1" applyBorder="1" applyAlignment="1">
      <alignment horizontal="right" vertical="center"/>
    </xf>
    <xf numFmtId="0" fontId="19" fillId="0" borderId="0" xfId="0" applyFont="1" applyAlignment="1">
      <alignment horizontal="left" vertical="center" wrapText="1" indent="2"/>
    </xf>
    <xf numFmtId="0" fontId="6" fillId="0" borderId="69" xfId="0" applyFont="1" applyBorder="1"/>
    <xf numFmtId="0" fontId="0" fillId="0" borderId="66" xfId="0" applyBorder="1" applyAlignment="1">
      <alignment horizontal="left" vertical="center" wrapText="1" indent="2"/>
    </xf>
    <xf numFmtId="0" fontId="6" fillId="3" borderId="25" xfId="0" applyFont="1" applyFill="1" applyBorder="1"/>
    <xf numFmtId="0" fontId="0" fillId="3" borderId="33" xfId="0" applyFill="1" applyBorder="1"/>
    <xf numFmtId="0" fontId="22" fillId="3" borderId="23" xfId="0" applyFont="1" applyFill="1" applyBorder="1" applyAlignment="1">
      <alignment horizontal="center"/>
    </xf>
    <xf numFmtId="0" fontId="22" fillId="3" borderId="80" xfId="0" applyFont="1" applyFill="1" applyBorder="1" applyAlignment="1">
      <alignment horizontal="center"/>
    </xf>
    <xf numFmtId="0" fontId="0" fillId="3" borderId="66" xfId="0" applyFill="1" applyBorder="1" applyAlignment="1">
      <alignment horizontal="left" vertical="center" wrapText="1" indent="2"/>
    </xf>
    <xf numFmtId="0" fontId="0" fillId="3" borderId="25" xfId="0" applyFill="1" applyBorder="1"/>
    <xf numFmtId="0" fontId="6" fillId="3" borderId="82" xfId="0" applyFont="1" applyFill="1" applyBorder="1"/>
    <xf numFmtId="0" fontId="55" fillId="3" borderId="20" xfId="0" applyFont="1" applyFill="1" applyBorder="1" applyAlignment="1">
      <alignment horizontal="left"/>
    </xf>
    <xf numFmtId="0" fontId="6" fillId="3" borderId="82" xfId="0" applyFont="1" applyFill="1" applyBorder="1" applyAlignment="1">
      <alignment vertical="center"/>
    </xf>
    <xf numFmtId="0" fontId="0" fillId="3" borderId="3" xfId="0" applyFill="1" applyBorder="1"/>
    <xf numFmtId="0" fontId="2" fillId="0" borderId="0" xfId="0" applyFont="1" applyAlignment="1">
      <alignment vertical="center"/>
    </xf>
    <xf numFmtId="0" fontId="3" fillId="0" borderId="0" xfId="0" applyFont="1"/>
    <xf numFmtId="0" fontId="8" fillId="0" borderId="0" xfId="0" applyFont="1"/>
    <xf numFmtId="0" fontId="4" fillId="0" borderId="0" xfId="0" applyFont="1"/>
    <xf numFmtId="0" fontId="1" fillId="2" borderId="0" xfId="0" applyFont="1" applyFill="1"/>
    <xf numFmtId="0" fontId="16" fillId="4" borderId="0" xfId="0" applyFont="1" applyFill="1"/>
    <xf numFmtId="0" fontId="46" fillId="0" borderId="0" xfId="0" applyFont="1"/>
    <xf numFmtId="0" fontId="47" fillId="0" borderId="0" xfId="0" applyFont="1" applyAlignment="1">
      <alignment vertical="center"/>
    </xf>
    <xf numFmtId="0" fontId="1" fillId="0" borderId="0" xfId="0" applyFont="1" applyAlignment="1">
      <alignment vertical="center"/>
    </xf>
    <xf numFmtId="0" fontId="1" fillId="0" borderId="0" xfId="0" applyFont="1" applyAlignment="1">
      <alignment horizontal="left" vertical="center" indent="2"/>
    </xf>
    <xf numFmtId="0" fontId="28" fillId="0" borderId="0" xfId="0" applyFont="1" applyAlignment="1">
      <alignment vertical="center"/>
    </xf>
    <xf numFmtId="0" fontId="28" fillId="0" borderId="0" xfId="0" applyFont="1" applyAlignment="1">
      <alignment horizontal="left" vertical="center" indent="2"/>
    </xf>
    <xf numFmtId="0" fontId="28" fillId="0" borderId="0" xfId="0" applyFont="1" applyAlignment="1">
      <alignment horizontal="left" indent="2"/>
    </xf>
    <xf numFmtId="0" fontId="56" fillId="0" borderId="0" xfId="0" applyFont="1" applyAlignment="1">
      <alignment horizontal="left" indent="2"/>
    </xf>
    <xf numFmtId="0" fontId="48" fillId="0" borderId="0" xfId="0" applyFont="1" applyAlignment="1">
      <alignment vertical="center"/>
    </xf>
    <xf numFmtId="0" fontId="0" fillId="6" borderId="7" xfId="0" applyFill="1" applyBorder="1"/>
    <xf numFmtId="0" fontId="0" fillId="0" borderId="0" xfId="0" applyAlignment="1">
      <alignment vertical="center"/>
    </xf>
    <xf numFmtId="0" fontId="0" fillId="0" borderId="0" xfId="0" applyAlignment="1">
      <alignment horizontal="left" indent="2"/>
    </xf>
    <xf numFmtId="165" fontId="20" fillId="5" borderId="9" xfId="1" applyNumberFormat="1" applyFont="1" applyFill="1" applyBorder="1" applyAlignment="1" applyProtection="1">
      <alignment horizontal="center" wrapText="1"/>
      <protection locked="0"/>
    </xf>
    <xf numFmtId="165" fontId="20" fillId="5" borderId="10" xfId="1" applyNumberFormat="1" applyFont="1" applyFill="1" applyBorder="1" applyAlignment="1" applyProtection="1">
      <alignment horizontal="center" wrapText="1"/>
      <protection locked="0"/>
    </xf>
    <xf numFmtId="0" fontId="9" fillId="0" borderId="10" xfId="0" applyFont="1" applyBorder="1" applyAlignment="1" applyProtection="1">
      <alignment wrapText="1"/>
      <protection locked="0"/>
    </xf>
    <xf numFmtId="165" fontId="20" fillId="5" borderId="7" xfId="1" applyNumberFormat="1" applyFont="1" applyFill="1" applyBorder="1" applyAlignment="1" applyProtection="1">
      <alignment wrapText="1"/>
      <protection locked="0"/>
    </xf>
    <xf numFmtId="165" fontId="20" fillId="5" borderId="11" xfId="1" applyNumberFormat="1" applyFont="1" applyFill="1" applyBorder="1" applyAlignment="1" applyProtection="1">
      <alignment wrapText="1"/>
      <protection locked="0"/>
    </xf>
    <xf numFmtId="165" fontId="20" fillId="5" borderId="9" xfId="1" applyNumberFormat="1" applyFont="1" applyFill="1" applyBorder="1" applyAlignment="1" applyProtection="1">
      <alignment wrapText="1"/>
      <protection locked="0"/>
    </xf>
    <xf numFmtId="165" fontId="20" fillId="5" borderId="47" xfId="1" applyNumberFormat="1" applyFont="1" applyFill="1" applyBorder="1" applyAlignment="1" applyProtection="1">
      <alignment wrapText="1"/>
      <protection locked="0"/>
    </xf>
    <xf numFmtId="0" fontId="7" fillId="12" borderId="0" xfId="0" applyFont="1" applyFill="1"/>
    <xf numFmtId="0" fontId="10" fillId="12" borderId="0" xfId="0" applyFont="1" applyFill="1"/>
    <xf numFmtId="0" fontId="10" fillId="0" borderId="0" xfId="0" applyFont="1"/>
    <xf numFmtId="0" fontId="25" fillId="0" borderId="25" xfId="0" applyFont="1" applyBorder="1"/>
    <xf numFmtId="0" fontId="23" fillId="0" borderId="33" xfId="0" applyFont="1" applyBorder="1"/>
    <xf numFmtId="0" fontId="22" fillId="0" borderId="33" xfId="0" applyFont="1" applyBorder="1"/>
    <xf numFmtId="0" fontId="22" fillId="0" borderId="33" xfId="0" applyFont="1" applyBorder="1" applyAlignment="1">
      <alignment wrapText="1"/>
    </xf>
    <xf numFmtId="0" fontId="61" fillId="0" borderId="26" xfId="0" applyFont="1" applyBorder="1" applyAlignment="1">
      <alignment horizontal="center" wrapText="1"/>
    </xf>
    <xf numFmtId="0" fontId="20" fillId="0" borderId="19" xfId="0" applyFont="1" applyBorder="1" applyAlignment="1">
      <alignment horizontal="center"/>
    </xf>
    <xf numFmtId="0" fontId="20" fillId="0" borderId="35" xfId="0" applyFont="1" applyBorder="1" applyAlignment="1">
      <alignment horizontal="center"/>
    </xf>
    <xf numFmtId="0" fontId="20" fillId="0" borderId="34" xfId="0" applyFont="1" applyBorder="1" applyAlignment="1">
      <alignment horizontal="center"/>
    </xf>
    <xf numFmtId="0" fontId="20" fillId="0" borderId="63" xfId="0" applyFont="1" applyBorder="1" applyAlignment="1">
      <alignment horizontal="center"/>
    </xf>
    <xf numFmtId="0" fontId="20" fillId="0" borderId="70" xfId="0" applyFont="1" applyBorder="1" applyAlignment="1">
      <alignment wrapText="1"/>
    </xf>
    <xf numFmtId="0" fontId="20" fillId="0" borderId="13" xfId="0" applyFont="1" applyBorder="1" applyAlignment="1">
      <alignment horizontal="center"/>
    </xf>
    <xf numFmtId="0" fontId="20" fillId="0" borderId="32" xfId="0" applyFont="1" applyBorder="1" applyAlignment="1">
      <alignment horizontal="center"/>
    </xf>
    <xf numFmtId="0" fontId="20" fillId="0" borderId="15" xfId="0" applyFont="1" applyBorder="1" applyAlignment="1">
      <alignment horizontal="center" wrapText="1"/>
    </xf>
    <xf numFmtId="0" fontId="20" fillId="0" borderId="7" xfId="0" applyFont="1" applyBorder="1" applyAlignment="1">
      <alignment horizontal="center" wrapText="1"/>
    </xf>
    <xf numFmtId="0" fontId="9" fillId="0" borderId="8" xfId="0" applyFont="1" applyBorder="1" applyAlignment="1">
      <alignment horizontal="center"/>
    </xf>
    <xf numFmtId="0" fontId="20" fillId="0" borderId="51" xfId="0" applyFont="1" applyBorder="1" applyAlignment="1">
      <alignment wrapText="1"/>
    </xf>
    <xf numFmtId="0" fontId="20" fillId="0" borderId="16" xfId="0" applyFont="1" applyBorder="1" applyAlignment="1">
      <alignment horizontal="left" wrapText="1"/>
    </xf>
    <xf numFmtId="0" fontId="54" fillId="0" borderId="9" xfId="0" applyFont="1" applyBorder="1" applyAlignment="1">
      <alignment wrapText="1"/>
    </xf>
    <xf numFmtId="0" fontId="20" fillId="0" borderId="9" xfId="0" applyFont="1" applyBorder="1" applyAlignment="1">
      <alignment wrapText="1"/>
    </xf>
    <xf numFmtId="0" fontId="7" fillId="5" borderId="0" xfId="0" applyFont="1" applyFill="1"/>
    <xf numFmtId="0" fontId="10" fillId="5" borderId="0" xfId="0" applyFont="1" applyFill="1"/>
    <xf numFmtId="0" fontId="22" fillId="0" borderId="0" xfId="0" applyFont="1"/>
    <xf numFmtId="0" fontId="50" fillId="0" borderId="15" xfId="0" applyFont="1" applyBorder="1" applyAlignment="1">
      <alignment horizontal="left" wrapText="1"/>
    </xf>
    <xf numFmtId="0" fontId="20" fillId="0" borderId="7" xfId="0" applyFont="1" applyBorder="1" applyAlignment="1">
      <alignment wrapText="1"/>
    </xf>
    <xf numFmtId="0" fontId="60" fillId="0" borderId="14" xfId="0" applyFont="1" applyBorder="1" applyAlignment="1">
      <alignment wrapText="1"/>
    </xf>
    <xf numFmtId="0" fontId="60" fillId="0" borderId="21" xfId="0" applyFont="1" applyBorder="1" applyAlignment="1">
      <alignment wrapText="1"/>
    </xf>
    <xf numFmtId="0" fontId="5" fillId="0" borderId="0" xfId="0" applyFont="1" applyAlignment="1">
      <alignment wrapText="1"/>
    </xf>
    <xf numFmtId="0" fontId="22" fillId="0" borderId="0" xfId="0" applyFont="1" applyAlignment="1">
      <alignment wrapText="1"/>
    </xf>
    <xf numFmtId="0" fontId="50" fillId="0" borderId="15" xfId="0" applyFont="1" applyBorder="1" applyAlignment="1">
      <alignment horizontal="left" wrapText="1" indent="2"/>
    </xf>
    <xf numFmtId="167" fontId="20" fillId="13" borderId="7" xfId="0" applyNumberFormat="1" applyFont="1" applyFill="1" applyBorder="1" applyAlignment="1">
      <alignment wrapText="1"/>
    </xf>
    <xf numFmtId="0" fontId="20" fillId="0" borderId="8" xfId="0" applyFont="1" applyBorder="1" applyAlignment="1">
      <alignment horizontal="center" wrapText="1"/>
    </xf>
    <xf numFmtId="0" fontId="27" fillId="0" borderId="0" xfId="0" applyFont="1" applyAlignment="1">
      <alignment horizontal="left" wrapText="1" indent="2"/>
    </xf>
    <xf numFmtId="0" fontId="51" fillId="0" borderId="15" xfId="0" applyFont="1" applyBorder="1" applyAlignment="1">
      <alignment horizontal="left" wrapText="1" indent="2"/>
    </xf>
    <xf numFmtId="0" fontId="20" fillId="0" borderId="19" xfId="0" applyFont="1" applyBorder="1" applyAlignment="1">
      <alignment wrapText="1"/>
    </xf>
    <xf numFmtId="166" fontId="20" fillId="13" borderId="15" xfId="0" applyNumberFormat="1" applyFont="1" applyFill="1" applyBorder="1" applyAlignment="1">
      <alignment wrapText="1"/>
    </xf>
    <xf numFmtId="166" fontId="20" fillId="13" borderId="7" xfId="0" applyNumberFormat="1" applyFont="1" applyFill="1" applyBorder="1" applyAlignment="1">
      <alignment wrapText="1"/>
    </xf>
    <xf numFmtId="0" fontId="28" fillId="0" borderId="0" xfId="0" applyFont="1" applyAlignment="1">
      <alignment horizontal="left" wrapText="1" indent="4"/>
    </xf>
    <xf numFmtId="0" fontId="9" fillId="0" borderId="15" xfId="0" applyFont="1" applyBorder="1" applyAlignment="1">
      <alignment horizontal="left" wrapText="1" indent="2"/>
    </xf>
    <xf numFmtId="0" fontId="9" fillId="0" borderId="7" xfId="0" applyFont="1" applyBorder="1" applyAlignment="1">
      <alignment horizontal="left" wrapText="1"/>
    </xf>
    <xf numFmtId="0" fontId="20" fillId="0" borderId="7" xfId="0" applyFont="1" applyBorder="1" applyAlignment="1">
      <alignment horizontal="left" wrapText="1"/>
    </xf>
    <xf numFmtId="166" fontId="20" fillId="13" borderId="37" xfId="0" applyNumberFormat="1" applyFont="1" applyFill="1" applyBorder="1" applyAlignment="1">
      <alignment wrapText="1"/>
    </xf>
    <xf numFmtId="0" fontId="9" fillId="0" borderId="70" xfId="0" applyFont="1" applyBorder="1" applyAlignment="1">
      <alignment wrapText="1"/>
    </xf>
    <xf numFmtId="0" fontId="9" fillId="0" borderId="16" xfId="0" applyFont="1" applyBorder="1" applyAlignment="1">
      <alignment horizontal="left" wrapText="1" indent="2"/>
    </xf>
    <xf numFmtId="0" fontId="9" fillId="0" borderId="9" xfId="0" applyFont="1" applyBorder="1" applyAlignment="1">
      <alignment horizontal="left" wrapText="1"/>
    </xf>
    <xf numFmtId="166" fontId="20" fillId="13" borderId="16" xfId="0" applyNumberFormat="1" applyFont="1" applyFill="1" applyBorder="1" applyAlignment="1">
      <alignment wrapText="1"/>
    </xf>
    <xf numFmtId="166" fontId="20" fillId="13" borderId="9" xfId="0" applyNumberFormat="1" applyFont="1" applyFill="1" applyBorder="1" applyAlignment="1">
      <alignment wrapText="1"/>
    </xf>
    <xf numFmtId="0" fontId="20" fillId="0" borderId="10" xfId="0" applyFont="1" applyBorder="1" applyAlignment="1">
      <alignment horizontal="center" wrapText="1"/>
    </xf>
    <xf numFmtId="0" fontId="19" fillId="2" borderId="0" xfId="0" applyFont="1" applyFill="1" applyAlignment="1">
      <alignment horizontal="left" vertical="top"/>
    </xf>
    <xf numFmtId="0" fontId="19" fillId="2" borderId="0" xfId="0" applyFont="1" applyFill="1" applyAlignment="1">
      <alignment horizontal="left"/>
    </xf>
    <xf numFmtId="167" fontId="19" fillId="2" borderId="0" xfId="0" applyNumberFormat="1" applyFont="1" applyFill="1" applyAlignment="1">
      <alignment vertical="top"/>
    </xf>
    <xf numFmtId="0" fontId="21" fillId="2" borderId="0" xfId="0" applyFont="1" applyFill="1" applyAlignment="1">
      <alignment vertical="top"/>
    </xf>
    <xf numFmtId="0" fontId="24" fillId="0" borderId="0" xfId="0" applyFont="1"/>
    <xf numFmtId="0" fontId="24" fillId="0" borderId="0" xfId="0" applyFont="1" applyAlignment="1">
      <alignment wrapText="1"/>
    </xf>
    <xf numFmtId="0" fontId="22" fillId="0" borderId="0" xfId="0" applyFont="1" applyAlignment="1">
      <alignment horizontal="center" wrapText="1"/>
    </xf>
    <xf numFmtId="0" fontId="45" fillId="0" borderId="25" xfId="0" applyFont="1" applyBorder="1"/>
    <xf numFmtId="0" fontId="22" fillId="0" borderId="36" xfId="0" applyFont="1" applyBorder="1"/>
    <xf numFmtId="0" fontId="22" fillId="0" borderId="36" xfId="0" applyFont="1" applyBorder="1" applyAlignment="1">
      <alignment wrapText="1"/>
    </xf>
    <xf numFmtId="0" fontId="0" fillId="0" borderId="36" xfId="0" applyBorder="1"/>
    <xf numFmtId="0" fontId="20" fillId="0" borderId="17" xfId="0" applyFont="1" applyBorder="1" applyAlignment="1">
      <alignment horizontal="center"/>
    </xf>
    <xf numFmtId="0" fontId="20" fillId="0" borderId="24" xfId="0" applyFont="1" applyBorder="1" applyAlignment="1">
      <alignment horizontal="center"/>
    </xf>
    <xf numFmtId="0" fontId="20" fillId="0" borderId="27" xfId="0" applyFont="1" applyBorder="1" applyAlignment="1">
      <alignment horizontal="center"/>
    </xf>
    <xf numFmtId="0" fontId="20" fillId="0" borderId="50" xfId="0" applyFont="1" applyBorder="1" applyAlignment="1">
      <alignment wrapText="1"/>
    </xf>
    <xf numFmtId="0" fontId="20" fillId="0" borderId="4" xfId="0" applyFont="1" applyBorder="1" applyAlignment="1">
      <alignment horizontal="center"/>
    </xf>
    <xf numFmtId="0" fontId="20" fillId="0" borderId="7" xfId="0" applyFont="1" applyBorder="1" applyAlignment="1">
      <alignment horizontal="center"/>
    </xf>
    <xf numFmtId="0" fontId="20" fillId="0" borderId="11" xfId="0" applyFont="1" applyBorder="1" applyAlignment="1">
      <alignment horizontal="center"/>
    </xf>
    <xf numFmtId="0" fontId="20" fillId="0" borderId="31" xfId="0" applyFont="1" applyBorder="1" applyAlignment="1">
      <alignment horizontal="left" wrapText="1"/>
    </xf>
    <xf numFmtId="0" fontId="20" fillId="0" borderId="39" xfId="0" applyFont="1" applyBorder="1" applyAlignment="1">
      <alignment horizontal="left" wrapText="1"/>
    </xf>
    <xf numFmtId="0" fontId="20" fillId="0" borderId="13" xfId="0" applyFont="1" applyBorder="1" applyAlignment="1">
      <alignment wrapText="1"/>
    </xf>
    <xf numFmtId="0" fontId="26" fillId="0" borderId="51" xfId="0" applyFont="1" applyBorder="1" applyAlignment="1">
      <alignment wrapText="1"/>
    </xf>
    <xf numFmtId="0" fontId="20" fillId="0" borderId="15" xfId="0" applyFont="1" applyBorder="1" applyAlignment="1">
      <alignment horizontal="left" wrapText="1"/>
    </xf>
    <xf numFmtId="0" fontId="20" fillId="0" borderId="40" xfId="0" applyFont="1" applyBorder="1" applyAlignment="1">
      <alignment horizontal="left" wrapText="1"/>
    </xf>
    <xf numFmtId="0" fontId="9" fillId="0" borderId="10" xfId="0" applyFont="1" applyBorder="1" applyAlignment="1">
      <alignment wrapText="1"/>
    </xf>
    <xf numFmtId="0" fontId="22" fillId="2" borderId="0" xfId="0" applyFont="1" applyFill="1" applyAlignment="1">
      <alignment horizontal="left" vertical="top"/>
    </xf>
    <xf numFmtId="0" fontId="22" fillId="2" borderId="0" xfId="0" applyFont="1" applyFill="1" applyAlignment="1">
      <alignment vertical="top"/>
    </xf>
    <xf numFmtId="0" fontId="22" fillId="2" borderId="0" xfId="0" applyFont="1" applyFill="1"/>
    <xf numFmtId="0" fontId="22" fillId="2" borderId="0" xfId="0" applyFont="1" applyFill="1" applyAlignment="1">
      <alignment wrapText="1"/>
    </xf>
    <xf numFmtId="0" fontId="20" fillId="0" borderId="49" xfId="0" applyFont="1" applyBorder="1" applyAlignment="1">
      <alignment wrapText="1"/>
    </xf>
    <xf numFmtId="0" fontId="27" fillId="0" borderId="0" xfId="0" applyFont="1"/>
    <xf numFmtId="0" fontId="20" fillId="0" borderId="21" xfId="0" applyFont="1" applyBorder="1" applyAlignment="1">
      <alignment wrapText="1"/>
    </xf>
    <xf numFmtId="0" fontId="28" fillId="0" borderId="0" xfId="0" applyFont="1" applyAlignment="1">
      <alignment horizontal="left" wrapText="1"/>
    </xf>
    <xf numFmtId="0" fontId="9" fillId="0" borderId="14" xfId="0" applyFont="1" applyBorder="1" applyAlignment="1">
      <alignment wrapText="1"/>
    </xf>
    <xf numFmtId="2" fontId="20" fillId="13" borderId="15" xfId="0" applyNumberFormat="1" applyFont="1" applyFill="1" applyBorder="1" applyAlignment="1">
      <alignment wrapText="1"/>
    </xf>
    <xf numFmtId="2" fontId="20" fillId="13" borderId="7" xfId="0" applyNumberFormat="1" applyFont="1" applyFill="1" applyBorder="1" applyAlignment="1">
      <alignment wrapText="1"/>
    </xf>
    <xf numFmtId="0" fontId="9" fillId="0" borderId="8" xfId="0" applyFont="1" applyBorder="1" applyAlignment="1">
      <alignment wrapText="1"/>
    </xf>
    <xf numFmtId="0" fontId="9" fillId="0" borderId="69" xfId="0" applyFont="1" applyBorder="1" applyAlignment="1">
      <alignment wrapText="1"/>
    </xf>
    <xf numFmtId="0" fontId="20" fillId="0" borderId="9" xfId="0" applyFont="1" applyBorder="1" applyAlignment="1">
      <alignment horizontal="left" wrapText="1"/>
    </xf>
    <xf numFmtId="2" fontId="20" fillId="13" borderId="16" xfId="0" applyNumberFormat="1" applyFont="1" applyFill="1" applyBorder="1" applyAlignment="1">
      <alignment wrapText="1"/>
    </xf>
    <xf numFmtId="2" fontId="20" fillId="13" borderId="9" xfId="0" applyNumberFormat="1" applyFont="1" applyFill="1" applyBorder="1" applyAlignment="1">
      <alignment wrapText="1"/>
    </xf>
    <xf numFmtId="0" fontId="25" fillId="5" borderId="0" xfId="0" applyFont="1" applyFill="1"/>
    <xf numFmtId="0" fontId="22" fillId="5" borderId="0" xfId="0" applyFont="1" applyFill="1"/>
    <xf numFmtId="0" fontId="22" fillId="5" borderId="0" xfId="0" applyFont="1" applyFill="1" applyAlignment="1">
      <alignment wrapText="1"/>
    </xf>
    <xf numFmtId="0" fontId="20" fillId="0" borderId="0" xfId="0" applyFont="1"/>
    <xf numFmtId="0" fontId="9" fillId="0" borderId="0" xfId="0" applyFont="1"/>
    <xf numFmtId="0" fontId="29" fillId="0" borderId="0" xfId="0" applyFont="1"/>
    <xf numFmtId="0" fontId="44" fillId="0" borderId="6" xfId="0" applyFont="1" applyBorder="1"/>
    <xf numFmtId="0" fontId="20" fillId="0" borderId="34" xfId="0" applyFont="1" applyBorder="1"/>
    <xf numFmtId="0" fontId="20" fillId="0" borderId="5" xfId="0" applyFont="1" applyBorder="1"/>
    <xf numFmtId="0" fontId="20" fillId="0" borderId="64" xfId="0" applyFont="1" applyBorder="1" applyAlignment="1">
      <alignment horizontal="center" wrapText="1"/>
    </xf>
    <xf numFmtId="0" fontId="20" fillId="0" borderId="19" xfId="0" applyFont="1" applyBorder="1" applyAlignment="1">
      <alignment horizontal="center" wrapText="1"/>
    </xf>
    <xf numFmtId="0" fontId="9" fillId="0" borderId="68" xfId="0" applyFont="1" applyBorder="1" applyAlignment="1">
      <alignment horizontal="center"/>
    </xf>
    <xf numFmtId="0" fontId="20" fillId="0" borderId="16" xfId="0" applyFont="1" applyBorder="1" applyAlignment="1">
      <alignment wrapText="1"/>
    </xf>
    <xf numFmtId="0" fontId="20" fillId="0" borderId="38" xfId="0" applyFont="1" applyBorder="1" applyAlignment="1">
      <alignment wrapText="1"/>
    </xf>
    <xf numFmtId="167" fontId="20" fillId="13" borderId="16" xfId="0" applyNumberFormat="1" applyFont="1" applyFill="1" applyBorder="1" applyAlignment="1">
      <alignment horizontal="center" wrapText="1"/>
    </xf>
    <xf numFmtId="167" fontId="20" fillId="13" borderId="9" xfId="0" applyNumberFormat="1" applyFont="1" applyFill="1" applyBorder="1" applyAlignment="1">
      <alignment wrapText="1"/>
    </xf>
    <xf numFmtId="0" fontId="19" fillId="2" borderId="0" xfId="0" applyFont="1" applyFill="1" applyAlignment="1">
      <alignment vertical="top"/>
    </xf>
    <xf numFmtId="0" fontId="20" fillId="0" borderId="0" xfId="0" applyFont="1" applyAlignment="1">
      <alignment wrapText="1"/>
    </xf>
    <xf numFmtId="0" fontId="20" fillId="0" borderId="6" xfId="0" applyFont="1" applyBorder="1"/>
    <xf numFmtId="0" fontId="20" fillId="13" borderId="16" xfId="0" applyFont="1" applyFill="1" applyBorder="1" applyAlignment="1">
      <alignment wrapText="1"/>
    </xf>
    <xf numFmtId="0" fontId="20" fillId="13" borderId="9" xfId="0" applyFont="1" applyFill="1" applyBorder="1" applyAlignment="1">
      <alignment wrapText="1"/>
    </xf>
    <xf numFmtId="0" fontId="44" fillId="0" borderId="0" xfId="0" applyFont="1"/>
    <xf numFmtId="0" fontId="9" fillId="0" borderId="35" xfId="0" applyFont="1" applyBorder="1" applyAlignment="1">
      <alignment horizontal="center"/>
    </xf>
    <xf numFmtId="0" fontId="20" fillId="0" borderId="15" xfId="0" applyFont="1" applyBorder="1" applyAlignment="1">
      <alignment wrapText="1"/>
    </xf>
    <xf numFmtId="0" fontId="9" fillId="0" borderId="11" xfId="0" applyFont="1" applyBorder="1" applyAlignment="1">
      <alignment wrapText="1"/>
    </xf>
    <xf numFmtId="0" fontId="9" fillId="0" borderId="47" xfId="0" applyFont="1" applyBorder="1" applyAlignment="1">
      <alignment wrapText="1"/>
    </xf>
    <xf numFmtId="0" fontId="20" fillId="5" borderId="0" xfId="0" applyFont="1" applyFill="1"/>
    <xf numFmtId="0" fontId="20" fillId="5" borderId="0" xfId="0" applyFont="1" applyFill="1" applyAlignment="1">
      <alignment wrapText="1"/>
    </xf>
    <xf numFmtId="0" fontId="9" fillId="0" borderId="7" xfId="0" applyFont="1" applyBorder="1" applyAlignment="1">
      <alignment wrapText="1"/>
    </xf>
    <xf numFmtId="0" fontId="20" fillId="13" borderId="15" xfId="0" applyFont="1" applyFill="1" applyBorder="1" applyAlignment="1">
      <alignment wrapText="1"/>
    </xf>
    <xf numFmtId="0" fontId="20" fillId="13" borderId="7" xfId="0" applyFont="1" applyFill="1" applyBorder="1" applyAlignment="1">
      <alignment wrapText="1"/>
    </xf>
    <xf numFmtId="0" fontId="26" fillId="0" borderId="0" xfId="0" applyFont="1"/>
    <xf numFmtId="0" fontId="9" fillId="0" borderId="9" xfId="0" applyFont="1" applyBorder="1" applyAlignment="1">
      <alignment wrapText="1"/>
    </xf>
    <xf numFmtId="0" fontId="26" fillId="0" borderId="0" xfId="0" applyFont="1" applyAlignment="1">
      <alignment wrapText="1"/>
    </xf>
    <xf numFmtId="0" fontId="20" fillId="0" borderId="63" xfId="0" applyFont="1" applyBorder="1" applyAlignment="1">
      <alignment wrapText="1"/>
    </xf>
    <xf numFmtId="167" fontId="54" fillId="13" borderId="15" xfId="0" applyNumberFormat="1" applyFont="1" applyFill="1" applyBorder="1" applyAlignment="1">
      <alignment wrapText="1"/>
    </xf>
    <xf numFmtId="0" fontId="9" fillId="0" borderId="21" xfId="0" applyFont="1" applyBorder="1" applyAlignment="1">
      <alignment wrapText="1"/>
    </xf>
    <xf numFmtId="0" fontId="20" fillId="0" borderId="15" xfId="0" applyFont="1" applyBorder="1" applyAlignment="1">
      <alignment horizontal="left" wrapText="1" indent="2"/>
    </xf>
    <xf numFmtId="0" fontId="51" fillId="0" borderId="15" xfId="0" applyFont="1" applyBorder="1" applyAlignment="1">
      <alignment wrapText="1"/>
    </xf>
    <xf numFmtId="0" fontId="9" fillId="0" borderId="14" xfId="0" applyFont="1" applyBorder="1" applyAlignment="1">
      <alignment horizontal="left" wrapText="1" indent="2"/>
    </xf>
    <xf numFmtId="167" fontId="20" fillId="13" borderId="15" xfId="0" applyNumberFormat="1" applyFont="1" applyFill="1" applyBorder="1" applyAlignment="1">
      <alignment wrapText="1"/>
    </xf>
    <xf numFmtId="0" fontId="9" fillId="0" borderId="69" xfId="0" applyFont="1" applyBorder="1" applyAlignment="1">
      <alignment horizontal="left" wrapText="1" indent="2"/>
    </xf>
    <xf numFmtId="0" fontId="50" fillId="0" borderId="16" xfId="0" applyFont="1" applyBorder="1" applyAlignment="1">
      <alignment horizontal="left" wrapText="1"/>
    </xf>
    <xf numFmtId="167" fontId="20" fillId="13" borderId="16" xfId="0" applyNumberFormat="1" applyFont="1" applyFill="1" applyBorder="1" applyAlignment="1">
      <alignment wrapText="1"/>
    </xf>
    <xf numFmtId="0" fontId="20" fillId="0" borderId="37" xfId="0" applyFont="1" applyBorder="1" applyAlignment="1">
      <alignment horizontal="left" wrapText="1"/>
    </xf>
    <xf numFmtId="0" fontId="20" fillId="0" borderId="38" xfId="0" applyFont="1" applyBorder="1" applyAlignment="1">
      <alignment horizontal="left" wrapText="1"/>
    </xf>
    <xf numFmtId="0" fontId="22" fillId="2" borderId="0" xfId="0" applyFont="1" applyFill="1" applyAlignment="1">
      <alignment horizontal="left" wrapText="1"/>
    </xf>
    <xf numFmtId="0" fontId="24" fillId="2" borderId="0" xfId="0" applyFont="1" applyFill="1"/>
    <xf numFmtId="0" fontId="24" fillId="2" borderId="0" xfId="0" applyFont="1" applyFill="1" applyAlignment="1">
      <alignment wrapText="1"/>
    </xf>
    <xf numFmtId="0" fontId="20" fillId="0" borderId="20" xfId="0" applyFont="1" applyBorder="1"/>
    <xf numFmtId="0" fontId="5" fillId="0" borderId="0" xfId="0" applyFont="1" applyAlignment="1">
      <alignment horizontal="center" wrapText="1"/>
    </xf>
    <xf numFmtId="0" fontId="44" fillId="0" borderId="6" xfId="0" applyFont="1" applyBorder="1" applyAlignment="1">
      <alignment vertical="top"/>
    </xf>
    <xf numFmtId="167" fontId="20" fillId="13" borderId="16" xfId="0" applyNumberFormat="1" applyFont="1" applyFill="1" applyBorder="1" applyAlignment="1">
      <alignment horizontal="right" wrapText="1"/>
    </xf>
    <xf numFmtId="167" fontId="20" fillId="13" borderId="9" xfId="0" applyNumberFormat="1" applyFont="1" applyFill="1" applyBorder="1" applyAlignment="1">
      <alignment horizontal="right" wrapText="1"/>
    </xf>
    <xf numFmtId="0" fontId="66" fillId="0" borderId="0" xfId="0" applyFont="1" applyAlignment="1">
      <alignment wrapText="1"/>
    </xf>
    <xf numFmtId="0" fontId="20" fillId="12" borderId="0" xfId="0" applyFont="1" applyFill="1"/>
    <xf numFmtId="0" fontId="20" fillId="12" borderId="0" xfId="0" applyFont="1" applyFill="1" applyAlignment="1">
      <alignment wrapText="1"/>
    </xf>
    <xf numFmtId="0" fontId="20" fillId="0" borderId="74" xfId="0" applyFont="1" applyBorder="1" applyAlignment="1">
      <alignment wrapText="1"/>
    </xf>
    <xf numFmtId="0" fontId="9" fillId="0" borderId="3" xfId="0" applyFont="1" applyBorder="1"/>
    <xf numFmtId="167" fontId="20" fillId="13" borderId="15" xfId="0" applyNumberFormat="1" applyFont="1" applyFill="1" applyBorder="1" applyAlignment="1">
      <alignment horizontal="right" wrapText="1"/>
    </xf>
    <xf numFmtId="167" fontId="20" fillId="13" borderId="7" xfId="0" applyNumberFormat="1" applyFont="1" applyFill="1" applyBorder="1" applyAlignment="1">
      <alignment horizontal="right" wrapText="1"/>
    </xf>
    <xf numFmtId="0" fontId="26" fillId="2" borderId="8" xfId="0" applyFont="1" applyFill="1" applyBorder="1" applyAlignment="1">
      <alignment wrapText="1"/>
    </xf>
    <xf numFmtId="0" fontId="26" fillId="2" borderId="10" xfId="0" applyFont="1" applyFill="1" applyBorder="1" applyAlignment="1">
      <alignment wrapText="1"/>
    </xf>
    <xf numFmtId="0" fontId="25" fillId="12" borderId="0" xfId="0" applyFont="1" applyFill="1"/>
    <xf numFmtId="0" fontId="40" fillId="0" borderId="0" xfId="0" applyFont="1"/>
    <xf numFmtId="0" fontId="20" fillId="0" borderId="49" xfId="0" applyFont="1" applyBorder="1"/>
    <xf numFmtId="0" fontId="20" fillId="0" borderId="6" xfId="0" applyFont="1" applyBorder="1" applyAlignment="1">
      <alignment wrapText="1"/>
    </xf>
    <xf numFmtId="0" fontId="20" fillId="0" borderId="34" xfId="0" applyFont="1" applyBorder="1" applyAlignment="1">
      <alignment wrapText="1"/>
    </xf>
    <xf numFmtId="0" fontId="20" fillId="0" borderId="75" xfId="0" applyFont="1" applyBorder="1" applyAlignment="1">
      <alignment wrapText="1"/>
    </xf>
    <xf numFmtId="0" fontId="20" fillId="0" borderId="49" xfId="0" applyFont="1" applyBorder="1" applyAlignment="1">
      <alignment horizontal="center"/>
    </xf>
    <xf numFmtId="0" fontId="20" fillId="0" borderId="8" xfId="0" applyFont="1" applyBorder="1" applyAlignment="1">
      <alignment horizontal="center"/>
    </xf>
    <xf numFmtId="166" fontId="20" fillId="13" borderId="38" xfId="0" applyNumberFormat="1" applyFont="1" applyFill="1" applyBorder="1" applyAlignment="1">
      <alignment wrapText="1"/>
    </xf>
    <xf numFmtId="166" fontId="54" fillId="13" borderId="15" xfId="0" applyNumberFormat="1" applyFont="1" applyFill="1" applyBorder="1" applyAlignment="1">
      <alignment wrapText="1"/>
    </xf>
    <xf numFmtId="1" fontId="20" fillId="13" borderId="15" xfId="0" applyNumberFormat="1" applyFont="1" applyFill="1" applyBorder="1" applyAlignment="1" applyProtection="1">
      <alignment wrapText="1"/>
      <protection locked="0"/>
    </xf>
    <xf numFmtId="1" fontId="20" fillId="13" borderId="16" xfId="0" applyNumberFormat="1" applyFont="1" applyFill="1" applyBorder="1" applyAlignment="1" applyProtection="1">
      <alignment wrapText="1"/>
      <protection locked="0"/>
    </xf>
    <xf numFmtId="0" fontId="9" fillId="0" borderId="11" xfId="0" applyFont="1" applyBorder="1" applyAlignment="1">
      <alignment horizontal="center"/>
    </xf>
    <xf numFmtId="0" fontId="20" fillId="0" borderId="31" xfId="0" applyFont="1" applyBorder="1" applyAlignment="1">
      <alignment horizontal="center" wrapText="1"/>
    </xf>
    <xf numFmtId="0" fontId="20" fillId="0" borderId="13" xfId="0" applyFont="1" applyBorder="1" applyAlignment="1">
      <alignment horizontal="center" wrapText="1"/>
    </xf>
    <xf numFmtId="0" fontId="9" fillId="0" borderId="32" xfId="0" applyFont="1" applyBorder="1" applyAlignment="1">
      <alignment horizontal="center"/>
    </xf>
    <xf numFmtId="0" fontId="20" fillId="0" borderId="53" xfId="0" applyFont="1" applyBorder="1" applyAlignment="1">
      <alignment wrapText="1"/>
    </xf>
    <xf numFmtId="0" fontId="9" fillId="0" borderId="64" xfId="0" applyFont="1" applyBorder="1" applyAlignment="1">
      <alignment wrapText="1"/>
    </xf>
    <xf numFmtId="0" fontId="9" fillId="0" borderId="19" xfId="0" applyFont="1" applyBorder="1" applyAlignment="1">
      <alignment wrapText="1"/>
    </xf>
    <xf numFmtId="0" fontId="20" fillId="13" borderId="19" xfId="0" applyFont="1" applyFill="1" applyBorder="1" applyAlignment="1">
      <alignment wrapText="1"/>
    </xf>
    <xf numFmtId="0" fontId="20" fillId="13" borderId="35" xfId="0" applyFont="1" applyFill="1" applyBorder="1" applyAlignment="1">
      <alignment wrapText="1"/>
    </xf>
    <xf numFmtId="168" fontId="20" fillId="13" borderId="64" xfId="0" applyNumberFormat="1" applyFont="1" applyFill="1" applyBorder="1" applyAlignment="1">
      <alignment wrapText="1"/>
    </xf>
    <xf numFmtId="168" fontId="20" fillId="13" borderId="19" xfId="0" applyNumberFormat="1" applyFont="1" applyFill="1" applyBorder="1" applyAlignment="1">
      <alignment wrapText="1"/>
    </xf>
    <xf numFmtId="0" fontId="9" fillId="0" borderId="68" xfId="0" applyFont="1" applyBorder="1" applyAlignment="1">
      <alignment wrapText="1"/>
    </xf>
    <xf numFmtId="0" fontId="0" fillId="0" borderId="2" xfId="0" applyBorder="1"/>
    <xf numFmtId="0" fontId="67" fillId="0" borderId="0" xfId="0" applyFont="1"/>
    <xf numFmtId="168" fontId="20" fillId="13" borderId="35" xfId="0" applyNumberFormat="1" applyFont="1" applyFill="1" applyBorder="1" applyAlignment="1">
      <alignment wrapText="1"/>
    </xf>
    <xf numFmtId="0" fontId="20" fillId="0" borderId="47" xfId="0" applyFont="1" applyBorder="1" applyAlignment="1">
      <alignment horizontal="center"/>
    </xf>
    <xf numFmtId="0" fontId="20" fillId="0" borderId="9" xfId="0" applyFont="1" applyBorder="1" applyAlignment="1">
      <alignment horizontal="center"/>
    </xf>
    <xf numFmtId="0" fontId="20" fillId="0" borderId="16" xfId="0" applyFont="1" applyBorder="1" applyAlignment="1">
      <alignment horizontal="center" wrapText="1"/>
    </xf>
    <xf numFmtId="0" fontId="20" fillId="0" borderId="9" xfId="0" applyFont="1" applyBorder="1" applyAlignment="1">
      <alignment horizontal="center" wrapText="1"/>
    </xf>
    <xf numFmtId="0" fontId="9" fillId="0" borderId="10" xfId="0" applyFont="1" applyBorder="1" applyAlignment="1">
      <alignment horizontal="center"/>
    </xf>
    <xf numFmtId="0" fontId="9" fillId="2" borderId="0" xfId="0" applyFont="1" applyFill="1"/>
    <xf numFmtId="0" fontId="20" fillId="0" borderId="0" xfId="0" applyFont="1" applyAlignment="1">
      <alignment horizontal="left" wrapText="1"/>
    </xf>
    <xf numFmtId="0" fontId="20" fillId="13" borderId="38" xfId="0" applyFont="1" applyFill="1" applyBorder="1" applyAlignment="1">
      <alignment wrapText="1"/>
    </xf>
    <xf numFmtId="0" fontId="50" fillId="0" borderId="64" xfId="0" applyFont="1" applyBorder="1" applyAlignment="1">
      <alignment horizontal="left"/>
    </xf>
    <xf numFmtId="0" fontId="50" fillId="0" borderId="16" xfId="0" applyFont="1" applyBorder="1" applyAlignment="1">
      <alignment horizontal="left"/>
    </xf>
    <xf numFmtId="0" fontId="9" fillId="0" borderId="16" xfId="0" applyFont="1" applyBorder="1" applyAlignment="1">
      <alignment wrapText="1"/>
    </xf>
    <xf numFmtId="0" fontId="9" fillId="0" borderId="8" xfId="0" applyFont="1" applyBorder="1"/>
    <xf numFmtId="0" fontId="20" fillId="0" borderId="42" xfId="0" applyFont="1" applyBorder="1" applyAlignment="1">
      <alignment horizontal="left" wrapText="1"/>
    </xf>
    <xf numFmtId="1" fontId="20" fillId="13" borderId="15" xfId="0" applyNumberFormat="1" applyFont="1" applyFill="1" applyBorder="1" applyAlignment="1">
      <alignment wrapText="1"/>
    </xf>
    <xf numFmtId="1" fontId="20" fillId="13" borderId="7" xfId="0" applyNumberFormat="1" applyFont="1" applyFill="1" applyBorder="1" applyAlignment="1">
      <alignment wrapText="1"/>
    </xf>
    <xf numFmtId="0" fontId="20" fillId="0" borderId="12" xfId="0" applyFont="1" applyBorder="1" applyAlignment="1">
      <alignment wrapText="1"/>
    </xf>
    <xf numFmtId="1" fontId="20" fillId="13" borderId="16" xfId="0" applyNumberFormat="1" applyFont="1" applyFill="1" applyBorder="1" applyAlignment="1">
      <alignment wrapText="1"/>
    </xf>
    <xf numFmtId="1" fontId="20" fillId="13" borderId="9" xfId="0" applyNumberFormat="1" applyFont="1" applyFill="1" applyBorder="1" applyAlignment="1">
      <alignment wrapText="1"/>
    </xf>
    <xf numFmtId="0" fontId="20" fillId="0" borderId="15" xfId="0" applyFont="1" applyBorder="1" applyAlignment="1">
      <alignment horizontal="center"/>
    </xf>
    <xf numFmtId="0" fontId="62" fillId="0" borderId="0" xfId="0" applyFont="1" applyAlignment="1">
      <alignment horizontal="center" wrapText="1"/>
    </xf>
    <xf numFmtId="0" fontId="52" fillId="0" borderId="25" xfId="0" applyFont="1" applyBorder="1"/>
    <xf numFmtId="0" fontId="25" fillId="0" borderId="28" xfId="0" applyFont="1" applyBorder="1"/>
    <xf numFmtId="0" fontId="23" fillId="0" borderId="23" xfId="0" applyFont="1" applyBorder="1"/>
    <xf numFmtId="0" fontId="9" fillId="0" borderId="21" xfId="0" applyFont="1" applyBorder="1"/>
    <xf numFmtId="0" fontId="9" fillId="0" borderId="76" xfId="0" applyFont="1" applyBorder="1" applyAlignment="1">
      <alignment wrapText="1"/>
    </xf>
    <xf numFmtId="0" fontId="25" fillId="0" borderId="0" xfId="0" applyFont="1"/>
    <xf numFmtId="0" fontId="20" fillId="0" borderId="20" xfId="0" applyFont="1" applyBorder="1" applyAlignment="1">
      <alignment horizontal="left" wrapText="1"/>
    </xf>
    <xf numFmtId="0" fontId="29" fillId="0" borderId="3" xfId="0" applyFont="1" applyBorder="1" applyAlignment="1">
      <alignment horizontal="left" wrapText="1"/>
    </xf>
    <xf numFmtId="0" fontId="20" fillId="0" borderId="0" xfId="0" applyFont="1" applyAlignment="1">
      <alignment horizontal="center"/>
    </xf>
    <xf numFmtId="0" fontId="29" fillId="0" borderId="20" xfId="0" applyFont="1" applyBorder="1" applyAlignment="1">
      <alignment horizontal="center" wrapText="1"/>
    </xf>
    <xf numFmtId="0" fontId="0" fillId="6" borderId="7" xfId="0" applyFill="1" applyBorder="1" applyAlignment="1" applyProtection="1">
      <alignment horizontal="center" wrapText="1"/>
      <protection locked="0"/>
    </xf>
    <xf numFmtId="0" fontId="20" fillId="6" borderId="7" xfId="0" applyFont="1" applyFill="1" applyBorder="1" applyAlignment="1" applyProtection="1">
      <alignment horizontal="center" wrapText="1"/>
      <protection locked="0"/>
    </xf>
    <xf numFmtId="0" fontId="20" fillId="6" borderId="9" xfId="0" applyFont="1" applyFill="1" applyBorder="1" applyAlignment="1" applyProtection="1">
      <alignment horizontal="center" wrapText="1"/>
      <protection locked="0"/>
    </xf>
    <xf numFmtId="0" fontId="26" fillId="0" borderId="87" xfId="0" applyFont="1" applyBorder="1" applyAlignment="1" applyProtection="1">
      <alignment wrapText="1"/>
      <protection locked="0"/>
    </xf>
    <xf numFmtId="0" fontId="26" fillId="0" borderId="86" xfId="0" applyFont="1" applyBorder="1" applyAlignment="1" applyProtection="1">
      <alignment wrapText="1"/>
      <protection locked="0"/>
    </xf>
    <xf numFmtId="0" fontId="20" fillId="0" borderId="68" xfId="0" applyFont="1" applyBorder="1" applyAlignment="1" applyProtection="1">
      <alignment wrapText="1"/>
      <protection locked="0"/>
    </xf>
    <xf numFmtId="0" fontId="20" fillId="0" borderId="32" xfId="0" applyFont="1" applyBorder="1" applyAlignment="1" applyProtection="1">
      <alignment horizontal="left" wrapText="1" indent="4"/>
      <protection locked="0"/>
    </xf>
    <xf numFmtId="0" fontId="20" fillId="0" borderId="18" xfId="0" applyFont="1" applyBorder="1" applyAlignment="1" applyProtection="1">
      <alignment wrapText="1"/>
      <protection locked="0"/>
    </xf>
    <xf numFmtId="0" fontId="0" fillId="0" borderId="8" xfId="0" applyBorder="1" applyProtection="1">
      <protection locked="0"/>
    </xf>
    <xf numFmtId="0" fontId="0" fillId="0" borderId="10" xfId="0" applyBorder="1" applyProtection="1">
      <protection locked="0"/>
    </xf>
    <xf numFmtId="166" fontId="20" fillId="0" borderId="18" xfId="0" applyNumberFormat="1" applyFont="1" applyBorder="1" applyProtection="1">
      <protection locked="0"/>
    </xf>
    <xf numFmtId="166" fontId="20" fillId="0" borderId="8" xfId="0" applyNumberFormat="1" applyFont="1" applyBorder="1" applyProtection="1">
      <protection locked="0"/>
    </xf>
    <xf numFmtId="166" fontId="20" fillId="0" borderId="10" xfId="0" applyNumberFormat="1" applyFont="1" applyBorder="1" applyProtection="1">
      <protection locked="0"/>
    </xf>
    <xf numFmtId="0" fontId="26" fillId="0" borderId="88" xfId="0" applyFont="1" applyBorder="1" applyAlignment="1" applyProtection="1">
      <alignment wrapText="1"/>
      <protection locked="0"/>
    </xf>
    <xf numFmtId="0" fontId="29" fillId="0" borderId="91" xfId="0" applyFont="1" applyBorder="1" applyAlignment="1" applyProtection="1">
      <alignment wrapText="1"/>
      <protection locked="0"/>
    </xf>
    <xf numFmtId="0" fontId="29" fillId="0" borderId="32" xfId="0" applyFont="1" applyBorder="1" applyAlignment="1" applyProtection="1">
      <alignment wrapText="1"/>
      <protection locked="0"/>
    </xf>
    <xf numFmtId="0" fontId="29" fillId="0" borderId="18" xfId="0" applyFont="1" applyBorder="1" applyAlignment="1" applyProtection="1">
      <alignment wrapText="1"/>
      <protection locked="0"/>
    </xf>
    <xf numFmtId="0" fontId="29" fillId="0" borderId="10" xfId="0" applyFont="1" applyBorder="1" applyAlignment="1" applyProtection="1">
      <alignment wrapText="1"/>
      <protection locked="0"/>
    </xf>
    <xf numFmtId="0" fontId="0" fillId="0" borderId="18" xfId="0" applyBorder="1" applyProtection="1">
      <protection locked="0"/>
    </xf>
    <xf numFmtId="0" fontId="0" fillId="0" borderId="10" xfId="0" applyBorder="1" applyAlignment="1" applyProtection="1">
      <alignment wrapText="1"/>
      <protection locked="0"/>
    </xf>
    <xf numFmtId="0" fontId="29" fillId="0" borderId="88" xfId="0" applyFont="1" applyBorder="1" applyAlignment="1" applyProtection="1">
      <alignment wrapText="1"/>
      <protection locked="0"/>
    </xf>
    <xf numFmtId="0" fontId="10" fillId="2" borderId="0" xfId="0" applyFont="1" applyFill="1"/>
    <xf numFmtId="0" fontId="68" fillId="0" borderId="0" xfId="0" applyFont="1"/>
    <xf numFmtId="0" fontId="61" fillId="0" borderId="33" xfId="0" applyFont="1" applyBorder="1" applyAlignment="1">
      <alignment horizontal="center" wrapText="1"/>
    </xf>
    <xf numFmtId="0" fontId="22" fillId="2" borderId="33" xfId="0" applyFont="1" applyFill="1" applyBorder="1"/>
    <xf numFmtId="0" fontId="22" fillId="2" borderId="33" xfId="0" applyFont="1" applyFill="1" applyBorder="1" applyAlignment="1">
      <alignment wrapText="1"/>
    </xf>
    <xf numFmtId="0" fontId="0" fillId="2" borderId="26" xfId="0" applyFill="1" applyBorder="1"/>
    <xf numFmtId="0" fontId="44" fillId="0" borderId="0" xfId="0" applyFont="1" applyAlignment="1">
      <alignment horizontal="left" wrapText="1"/>
    </xf>
    <xf numFmtId="0" fontId="0" fillId="0" borderId="81" xfId="0" applyBorder="1"/>
    <xf numFmtId="0" fontId="20" fillId="0" borderId="5" xfId="0" applyFont="1" applyBorder="1" applyAlignment="1">
      <alignment horizontal="center"/>
    </xf>
    <xf numFmtId="0" fontId="44" fillId="0" borderId="37" xfId="0" applyFont="1" applyBorder="1" applyAlignment="1">
      <alignment horizontal="center" vertical="top" wrapText="1"/>
    </xf>
    <xf numFmtId="0" fontId="0" fillId="0" borderId="19" xfId="0" applyBorder="1"/>
    <xf numFmtId="0" fontId="20" fillId="0" borderId="39" xfId="0" applyFont="1" applyBorder="1" applyAlignment="1">
      <alignment horizontal="center"/>
    </xf>
    <xf numFmtId="0" fontId="51" fillId="0" borderId="64" xfId="0" applyFont="1" applyBorder="1" applyAlignment="1">
      <alignment horizontal="left" indent="2"/>
    </xf>
    <xf numFmtId="165" fontId="20" fillId="6" borderId="7" xfId="1" applyNumberFormat="1" applyFont="1" applyFill="1" applyBorder="1" applyAlignment="1" applyProtection="1"/>
    <xf numFmtId="0" fontId="20" fillId="0" borderId="7" xfId="0" applyFont="1" applyBorder="1"/>
    <xf numFmtId="2" fontId="9" fillId="7" borderId="39" xfId="1" applyNumberFormat="1" applyFont="1" applyFill="1" applyBorder="1" applyAlignment="1" applyProtection="1">
      <alignment horizontal="center"/>
    </xf>
    <xf numFmtId="2" fontId="9" fillId="7" borderId="53" xfId="1" applyNumberFormat="1" applyFont="1" applyFill="1" applyBorder="1" applyAlignment="1" applyProtection="1">
      <alignment horizontal="center"/>
    </xf>
    <xf numFmtId="0" fontId="51" fillId="0" borderId="15" xfId="0" applyFont="1" applyBorder="1" applyAlignment="1">
      <alignment horizontal="left" indent="2"/>
    </xf>
    <xf numFmtId="0" fontId="20" fillId="0" borderId="7" xfId="0" applyFont="1" applyBorder="1" applyAlignment="1">
      <alignment horizontal="left"/>
    </xf>
    <xf numFmtId="0" fontId="0" fillId="0" borderId="0" xfId="0" applyAlignment="1">
      <alignment horizontal="left" indent="4"/>
    </xf>
    <xf numFmtId="0" fontId="8" fillId="0" borderId="0" xfId="0" applyFont="1" applyAlignment="1">
      <alignment horizontal="left" indent="4"/>
    </xf>
    <xf numFmtId="0" fontId="51" fillId="0" borderId="16" xfId="0" applyFont="1" applyBorder="1" applyAlignment="1">
      <alignment horizontal="left" indent="2"/>
    </xf>
    <xf numFmtId="165" fontId="20" fillId="6" borderId="9" xfId="1" applyNumberFormat="1" applyFont="1" applyFill="1" applyBorder="1" applyAlignment="1" applyProtection="1"/>
    <xf numFmtId="0" fontId="20" fillId="0" borderId="9" xfId="0" applyFont="1" applyBorder="1"/>
    <xf numFmtId="2" fontId="9" fillId="7" borderId="38" xfId="1" applyNumberFormat="1" applyFont="1" applyFill="1" applyBorder="1" applyAlignment="1" applyProtection="1">
      <alignment horizontal="center"/>
    </xf>
    <xf numFmtId="2" fontId="9" fillId="7" borderId="30" xfId="1" applyNumberFormat="1" applyFont="1" applyFill="1" applyBorder="1" applyAlignment="1" applyProtection="1">
      <alignment horizontal="center"/>
    </xf>
    <xf numFmtId="0" fontId="61" fillId="0" borderId="2" xfId="0" applyFont="1" applyBorder="1" applyAlignment="1">
      <alignment horizontal="center" wrapText="1"/>
    </xf>
    <xf numFmtId="0" fontId="9" fillId="0" borderId="0" xfId="0" applyFont="1" applyAlignment="1">
      <alignment horizontal="center"/>
    </xf>
    <xf numFmtId="0" fontId="20" fillId="0" borderId="0" xfId="0" applyFont="1" applyAlignment="1">
      <alignment horizontal="center" wrapText="1"/>
    </xf>
    <xf numFmtId="0" fontId="50" fillId="0" borderId="31" xfId="0" applyFont="1" applyBorder="1" applyAlignment="1">
      <alignment horizontal="left" wrapText="1"/>
    </xf>
    <xf numFmtId="0" fontId="20" fillId="0" borderId="13" xfId="0" applyFont="1" applyBorder="1" applyAlignment="1">
      <alignment horizontal="left" wrapText="1"/>
    </xf>
    <xf numFmtId="0" fontId="20" fillId="0" borderId="13" xfId="0" applyFont="1" applyBorder="1"/>
    <xf numFmtId="0" fontId="20" fillId="0" borderId="84" xfId="0" applyFont="1" applyBorder="1" applyAlignment="1">
      <alignment horizontal="left" wrapText="1"/>
    </xf>
    <xf numFmtId="0" fontId="20" fillId="0" borderId="85" xfId="0" applyFont="1" applyBorder="1" applyAlignment="1">
      <alignment horizontal="left" wrapText="1"/>
    </xf>
    <xf numFmtId="0" fontId="20" fillId="0" borderId="85" xfId="0" applyFont="1" applyBorder="1"/>
    <xf numFmtId="0" fontId="51" fillId="0" borderId="64" xfId="0" applyFont="1" applyBorder="1" applyAlignment="1">
      <alignment horizontal="left" wrapText="1" indent="2"/>
    </xf>
    <xf numFmtId="0" fontId="9" fillId="0" borderId="35" xfId="0" applyFont="1" applyBorder="1"/>
    <xf numFmtId="0" fontId="51" fillId="0" borderId="31" xfId="0" applyFont="1" applyBorder="1" applyAlignment="1">
      <alignment horizontal="left" vertical="top" wrapText="1" indent="4"/>
    </xf>
    <xf numFmtId="0" fontId="9" fillId="0" borderId="13" xfId="0" applyFont="1" applyBorder="1" applyAlignment="1">
      <alignment horizontal="left" vertical="top"/>
    </xf>
    <xf numFmtId="0" fontId="9" fillId="0" borderId="4" xfId="0" applyFont="1" applyBorder="1" applyAlignment="1">
      <alignment vertical="top"/>
    </xf>
    <xf numFmtId="0" fontId="0" fillId="7" borderId="13" xfId="0" applyFill="1" applyBorder="1" applyAlignment="1">
      <alignment horizontal="left" vertical="top"/>
    </xf>
    <xf numFmtId="0" fontId="20" fillId="0" borderId="0" xfId="0" applyFont="1" applyAlignment="1">
      <alignment horizontal="left" indent="4"/>
    </xf>
    <xf numFmtId="0" fontId="51" fillId="0" borderId="67" xfId="0" applyFont="1" applyBorder="1" applyAlignment="1">
      <alignment horizontal="left" indent="2"/>
    </xf>
    <xf numFmtId="0" fontId="9" fillId="0" borderId="17" xfId="0" applyFont="1" applyBorder="1" applyAlignment="1">
      <alignment wrapText="1"/>
    </xf>
    <xf numFmtId="0" fontId="9" fillId="0" borderId="24" xfId="0" applyFont="1" applyBorder="1"/>
    <xf numFmtId="0" fontId="0" fillId="6" borderId="17" xfId="0" applyFill="1" applyBorder="1"/>
    <xf numFmtId="0" fontId="51" fillId="0" borderId="15" xfId="0" applyFont="1" applyBorder="1" applyAlignment="1">
      <alignment horizontal="left" indent="4"/>
    </xf>
    <xf numFmtId="0" fontId="9" fillId="0" borderId="7" xfId="0" applyFont="1" applyBorder="1"/>
    <xf numFmtId="0" fontId="9" fillId="0" borderId="11" xfId="0" applyFont="1" applyBorder="1"/>
    <xf numFmtId="0" fontId="51" fillId="0" borderId="16" xfId="0" applyFont="1" applyBorder="1" applyAlignment="1">
      <alignment horizontal="left" wrapText="1" indent="4"/>
    </xf>
    <xf numFmtId="0" fontId="9" fillId="0" borderId="9" xfId="0" applyFont="1" applyBorder="1"/>
    <xf numFmtId="0" fontId="9" fillId="0" borderId="47" xfId="0" applyFont="1" applyBorder="1"/>
    <xf numFmtId="0" fontId="0" fillId="6" borderId="9" xfId="0" applyFill="1" applyBorder="1"/>
    <xf numFmtId="43" fontId="20" fillId="6" borderId="17" xfId="1" applyFont="1" applyFill="1" applyBorder="1" applyAlignment="1" applyProtection="1"/>
    <xf numFmtId="165" fontId="20" fillId="6" borderId="17" xfId="1" applyNumberFormat="1" applyFont="1" applyFill="1" applyBorder="1" applyAlignment="1" applyProtection="1"/>
    <xf numFmtId="166" fontId="20" fillId="0" borderId="0" xfId="0" applyNumberFormat="1" applyFont="1"/>
    <xf numFmtId="0" fontId="9" fillId="2" borderId="0" xfId="0" applyFont="1" applyFill="1" applyAlignment="1">
      <alignment horizontal="center"/>
    </xf>
    <xf numFmtId="0" fontId="9" fillId="0" borderId="15" xfId="0" applyFont="1" applyBorder="1" applyAlignment="1">
      <alignment horizontal="left" indent="4"/>
    </xf>
    <xf numFmtId="0" fontId="9" fillId="0" borderId="16" xfId="0" applyFont="1" applyBorder="1" applyAlignment="1">
      <alignment horizontal="left" wrapText="1" indent="4"/>
    </xf>
    <xf numFmtId="0" fontId="9" fillId="2" borderId="0" xfId="0" applyFont="1" applyFill="1" applyAlignment="1">
      <alignment wrapText="1"/>
    </xf>
    <xf numFmtId="0" fontId="7" fillId="0" borderId="0" xfId="0" applyFont="1"/>
    <xf numFmtId="0" fontId="20" fillId="2" borderId="0" xfId="0" applyFont="1" applyFill="1" applyAlignment="1">
      <alignment horizontal="center" wrapText="1"/>
    </xf>
    <xf numFmtId="168" fontId="20" fillId="2" borderId="0" xfId="0" applyNumberFormat="1" applyFont="1" applyFill="1"/>
    <xf numFmtId="0" fontId="9" fillId="0" borderId="94" xfId="0" applyFont="1" applyBorder="1" applyAlignment="1">
      <alignment horizontal="left" wrapText="1"/>
    </xf>
    <xf numFmtId="0" fontId="29" fillId="0" borderId="85" xfId="0" applyFont="1" applyBorder="1" applyAlignment="1">
      <alignment wrapText="1"/>
    </xf>
    <xf numFmtId="0" fontId="61" fillId="2" borderId="0" xfId="0" applyFont="1" applyFill="1" applyAlignment="1">
      <alignment horizontal="center" wrapText="1"/>
    </xf>
    <xf numFmtId="0" fontId="51" fillId="0" borderId="89" xfId="0" applyFont="1" applyBorder="1" applyAlignment="1">
      <alignment horizontal="left" wrapText="1" indent="2"/>
    </xf>
    <xf numFmtId="0" fontId="9" fillId="0" borderId="90" xfId="0" applyFont="1" applyBorder="1" applyAlignment="1">
      <alignment horizontal="left" wrapText="1"/>
    </xf>
    <xf numFmtId="0" fontId="20" fillId="2" borderId="0" xfId="0" applyFont="1" applyFill="1" applyAlignment="1">
      <alignment wrapText="1"/>
    </xf>
    <xf numFmtId="0" fontId="0" fillId="2" borderId="0" xfId="0" applyFill="1" applyAlignment="1">
      <alignment wrapText="1"/>
    </xf>
    <xf numFmtId="0" fontId="51" fillId="0" borderId="31" xfId="0" applyFont="1" applyBorder="1" applyAlignment="1">
      <alignment horizontal="left" wrapText="1" indent="4"/>
    </xf>
    <xf numFmtId="0" fontId="9" fillId="0" borderId="13" xfId="0" applyFont="1" applyBorder="1" applyAlignment="1">
      <alignment wrapText="1"/>
    </xf>
    <xf numFmtId="0" fontId="9" fillId="0" borderId="13" xfId="0" applyFont="1" applyBorder="1"/>
    <xf numFmtId="0" fontId="9" fillId="7" borderId="13" xfId="0" applyFont="1" applyFill="1" applyBorder="1" applyAlignment="1">
      <alignment horizontal="left" indent="4"/>
    </xf>
    <xf numFmtId="0" fontId="29" fillId="0" borderId="0" xfId="0" applyFont="1" applyAlignment="1">
      <alignment wrapText="1"/>
    </xf>
    <xf numFmtId="0" fontId="51" fillId="2" borderId="0" xfId="0" applyFont="1" applyFill="1" applyAlignment="1">
      <alignment wrapText="1"/>
    </xf>
    <xf numFmtId="0" fontId="51" fillId="0" borderId="67" xfId="0" applyFont="1" applyBorder="1" applyAlignment="1">
      <alignment horizontal="left" wrapText="1" indent="2"/>
    </xf>
    <xf numFmtId="0" fontId="20" fillId="0" borderId="71" xfId="0" applyFont="1" applyBorder="1"/>
    <xf numFmtId="0" fontId="9" fillId="2" borderId="0" xfId="0" applyFont="1" applyFill="1" applyAlignment="1">
      <alignment horizontal="center" wrapText="1"/>
    </xf>
    <xf numFmtId="0" fontId="26" fillId="2" borderId="0" xfId="0" applyFont="1" applyFill="1" applyAlignment="1">
      <alignment wrapText="1"/>
    </xf>
    <xf numFmtId="0" fontId="47" fillId="2" borderId="0" xfId="0" applyFont="1" applyFill="1" applyAlignment="1">
      <alignment horizontal="center" wrapText="1"/>
    </xf>
    <xf numFmtId="0" fontId="5" fillId="2" borderId="0" xfId="0" applyFont="1" applyFill="1"/>
    <xf numFmtId="0" fontId="6" fillId="2" borderId="0" xfId="0" applyFont="1" applyFill="1" applyAlignment="1">
      <alignment horizontal="left" indent="2"/>
    </xf>
    <xf numFmtId="0" fontId="7" fillId="2" borderId="0" xfId="0" applyFont="1" applyFill="1"/>
    <xf numFmtId="0" fontId="6" fillId="2" borderId="0" xfId="0" applyFont="1" applyFill="1" applyAlignment="1">
      <alignment horizontal="left" indent="4"/>
    </xf>
    <xf numFmtId="0" fontId="26" fillId="2" borderId="0" xfId="0" applyFont="1" applyFill="1"/>
    <xf numFmtId="166" fontId="9" fillId="2" borderId="0" xfId="0" applyNumberFormat="1" applyFont="1" applyFill="1"/>
    <xf numFmtId="0" fontId="20" fillId="0" borderId="92" xfId="0" applyFont="1" applyBorder="1" applyAlignment="1">
      <alignment horizontal="left" wrapText="1"/>
    </xf>
    <xf numFmtId="0" fontId="9" fillId="0" borderId="90" xfId="0" applyFont="1" applyBorder="1"/>
    <xf numFmtId="0" fontId="9" fillId="0" borderId="17" xfId="0" applyFont="1" applyBorder="1"/>
    <xf numFmtId="168" fontId="9" fillId="2" borderId="0" xfId="0" applyNumberFormat="1" applyFont="1" applyFill="1"/>
    <xf numFmtId="0" fontId="0" fillId="2" borderId="0" xfId="0" applyFill="1" applyAlignment="1">
      <alignment horizontal="left" wrapText="1"/>
    </xf>
    <xf numFmtId="0" fontId="9" fillId="2" borderId="0" xfId="0" applyFont="1" applyFill="1" applyAlignment="1">
      <alignment horizontal="left" wrapText="1"/>
    </xf>
    <xf numFmtId="2" fontId="9" fillId="2" borderId="0" xfId="0" applyNumberFormat="1" applyFont="1" applyFill="1"/>
    <xf numFmtId="0" fontId="53" fillId="2" borderId="0" xfId="0" applyFont="1" applyFill="1" applyAlignment="1">
      <alignment wrapText="1"/>
    </xf>
    <xf numFmtId="2" fontId="53" fillId="2" borderId="0" xfId="0" applyNumberFormat="1" applyFont="1" applyFill="1"/>
    <xf numFmtId="0" fontId="6" fillId="2" borderId="0" xfId="0" applyFont="1" applyFill="1"/>
    <xf numFmtId="0" fontId="53" fillId="2" borderId="0" xfId="0" applyFont="1" applyFill="1"/>
    <xf numFmtId="0" fontId="51" fillId="2" borderId="0" xfId="0" applyFont="1" applyFill="1" applyAlignment="1">
      <alignment horizontal="left" wrapText="1"/>
    </xf>
    <xf numFmtId="167" fontId="9" fillId="2" borderId="0" xfId="0" applyNumberFormat="1" applyFont="1" applyFill="1"/>
    <xf numFmtId="0" fontId="9" fillId="0" borderId="0" xfId="0" applyFont="1" applyAlignment="1">
      <alignment horizontal="left" indent="2"/>
    </xf>
    <xf numFmtId="167" fontId="54" fillId="0" borderId="0" xfId="0" applyNumberFormat="1" applyFont="1"/>
    <xf numFmtId="167" fontId="20" fillId="0" borderId="0" xfId="0" applyNumberFormat="1" applyFont="1"/>
    <xf numFmtId="0" fontId="9" fillId="0" borderId="0" xfId="0" applyFont="1" applyAlignment="1">
      <alignment wrapText="1"/>
    </xf>
    <xf numFmtId="0" fontId="20" fillId="0" borderId="0" xfId="0" applyFont="1" applyAlignment="1">
      <alignment horizontal="left" wrapText="1" indent="2"/>
    </xf>
    <xf numFmtId="0" fontId="51" fillId="0" borderId="0" xfId="0" applyFont="1"/>
    <xf numFmtId="0" fontId="50" fillId="0" borderId="0" xfId="0" applyFont="1" applyAlignment="1">
      <alignment horizontal="left" wrapText="1"/>
    </xf>
    <xf numFmtId="0" fontId="61" fillId="0" borderId="0" xfId="0" applyFont="1" applyAlignment="1">
      <alignment horizontal="center" wrapText="1"/>
    </xf>
    <xf numFmtId="0" fontId="50" fillId="0" borderId="0" xfId="0" applyFont="1"/>
    <xf numFmtId="0" fontId="22" fillId="0" borderId="0" xfId="0" applyFont="1" applyAlignment="1">
      <alignment horizontal="left" wrapText="1"/>
    </xf>
    <xf numFmtId="0" fontId="5" fillId="2" borderId="0" xfId="0" applyFont="1" applyFill="1" applyAlignment="1">
      <alignment horizontal="center" wrapText="1"/>
    </xf>
    <xf numFmtId="0" fontId="44" fillId="0" borderId="0" xfId="0" applyFont="1" applyAlignment="1">
      <alignment vertical="top"/>
    </xf>
    <xf numFmtId="167" fontId="20" fillId="0" borderId="0" xfId="0" applyNumberFormat="1" applyFont="1" applyAlignment="1">
      <alignment horizontal="right"/>
    </xf>
    <xf numFmtId="0" fontId="4" fillId="9" borderId="0" xfId="0" applyFont="1" applyFill="1" applyAlignment="1" applyProtection="1">
      <alignment horizontal="right"/>
      <protection locked="0"/>
    </xf>
    <xf numFmtId="0" fontId="0" fillId="6" borderId="0" xfId="0" applyFill="1" applyAlignment="1" applyProtection="1">
      <alignment horizontal="right"/>
      <protection locked="0"/>
    </xf>
    <xf numFmtId="0" fontId="70" fillId="0" borderId="52" xfId="0" applyFont="1" applyBorder="1" applyAlignment="1" applyProtection="1">
      <alignment wrapText="1"/>
      <protection locked="0"/>
    </xf>
    <xf numFmtId="0" fontId="54" fillId="0" borderId="51" xfId="0" applyFont="1" applyBorder="1" applyAlignment="1" applyProtection="1">
      <alignment wrapText="1"/>
      <protection locked="0"/>
    </xf>
    <xf numFmtId="0" fontId="54" fillId="6" borderId="51" xfId="0" applyFont="1" applyFill="1" applyBorder="1" applyAlignment="1" applyProtection="1">
      <alignment wrapText="1"/>
      <protection locked="0"/>
    </xf>
    <xf numFmtId="0" fontId="54" fillId="0" borderId="70" xfId="0" applyFont="1" applyBorder="1" applyAlignment="1" applyProtection="1">
      <alignment wrapText="1"/>
      <protection locked="0"/>
    </xf>
    <xf numFmtId="0" fontId="54" fillId="0" borderId="52" xfId="0" applyFont="1" applyBorder="1" applyAlignment="1" applyProtection="1">
      <alignment wrapText="1"/>
      <protection locked="0"/>
    </xf>
    <xf numFmtId="0" fontId="65" fillId="0" borderId="0" xfId="0" applyFont="1" applyAlignment="1">
      <alignment horizontal="center" vertical="top" wrapText="1"/>
    </xf>
    <xf numFmtId="165" fontId="9" fillId="7" borderId="39" xfId="1" applyNumberFormat="1" applyFont="1" applyFill="1" applyBorder="1" applyAlignment="1" applyProtection="1">
      <alignment horizontal="center" wrapText="1"/>
    </xf>
    <xf numFmtId="165" fontId="9" fillId="7" borderId="8" xfId="1" applyNumberFormat="1" applyFont="1" applyFill="1" applyBorder="1" applyAlignment="1" applyProtection="1">
      <alignment horizontal="center" wrapText="1"/>
    </xf>
    <xf numFmtId="165" fontId="9" fillId="6" borderId="7" xfId="1" applyNumberFormat="1" applyFont="1" applyFill="1" applyBorder="1" applyAlignment="1" applyProtection="1">
      <alignment wrapText="1"/>
      <protection locked="0"/>
    </xf>
    <xf numFmtId="165" fontId="9" fillId="6" borderId="8" xfId="1" applyNumberFormat="1" applyFont="1" applyFill="1" applyBorder="1" applyAlignment="1" applyProtection="1">
      <alignment wrapText="1"/>
      <protection locked="0"/>
    </xf>
    <xf numFmtId="165" fontId="9" fillId="6" borderId="19" xfId="1" applyNumberFormat="1" applyFont="1" applyFill="1" applyBorder="1" applyAlignment="1" applyProtection="1">
      <alignment wrapText="1"/>
      <protection locked="0"/>
    </xf>
    <xf numFmtId="165" fontId="9" fillId="6" borderId="68" xfId="1" applyNumberFormat="1" applyFont="1" applyFill="1" applyBorder="1" applyAlignment="1" applyProtection="1">
      <alignment wrapText="1"/>
      <protection locked="0"/>
    </xf>
    <xf numFmtId="165" fontId="9" fillId="6" borderId="7" xfId="1" applyNumberFormat="1" applyFont="1" applyFill="1" applyBorder="1" applyAlignment="1" applyProtection="1">
      <alignment horizontal="left" wrapText="1"/>
      <protection locked="0"/>
    </xf>
    <xf numFmtId="165" fontId="9" fillId="6" borderId="8" xfId="1" applyNumberFormat="1" applyFont="1" applyFill="1" applyBorder="1" applyAlignment="1" applyProtection="1">
      <alignment horizontal="left" wrapText="1"/>
      <protection locked="0"/>
    </xf>
    <xf numFmtId="165" fontId="9" fillId="8" borderId="7" xfId="1" quotePrefix="1" applyNumberFormat="1" applyFont="1" applyFill="1" applyBorder="1" applyAlignment="1" applyProtection="1">
      <alignment horizontal="center" wrapText="1"/>
      <protection locked="0"/>
    </xf>
    <xf numFmtId="165" fontId="9" fillId="6" borderId="9" xfId="1" applyNumberFormat="1" applyFont="1" applyFill="1" applyBorder="1" applyAlignment="1" applyProtection="1">
      <alignment wrapText="1"/>
      <protection locked="0"/>
    </xf>
    <xf numFmtId="165" fontId="9" fillId="6" borderId="10" xfId="1" applyNumberFormat="1" applyFont="1" applyFill="1" applyBorder="1" applyAlignment="1" applyProtection="1">
      <alignment wrapText="1"/>
      <protection locked="0"/>
    </xf>
    <xf numFmtId="165" fontId="9" fillId="6" borderId="13" xfId="1" applyNumberFormat="1" applyFont="1" applyFill="1" applyBorder="1" applyAlignment="1" applyProtection="1">
      <alignment wrapText="1"/>
      <protection locked="0"/>
    </xf>
    <xf numFmtId="165" fontId="9" fillId="6" borderId="4" xfId="1" applyNumberFormat="1" applyFont="1" applyFill="1" applyBorder="1" applyAlignment="1" applyProtection="1">
      <alignment wrapText="1"/>
      <protection locked="0"/>
    </xf>
    <xf numFmtId="43" fontId="9" fillId="6" borderId="7" xfId="1" applyFont="1" applyFill="1" applyBorder="1" applyAlignment="1" applyProtection="1">
      <alignment wrapText="1"/>
      <protection locked="0"/>
    </xf>
    <xf numFmtId="43" fontId="9" fillId="6" borderId="11" xfId="1" applyFont="1" applyFill="1" applyBorder="1" applyAlignment="1" applyProtection="1">
      <alignment wrapText="1"/>
      <protection locked="0"/>
    </xf>
    <xf numFmtId="165" fontId="9" fillId="6" borderId="47" xfId="1" applyNumberFormat="1" applyFont="1" applyFill="1" applyBorder="1" applyAlignment="1" applyProtection="1">
      <alignment wrapText="1"/>
      <protection locked="0"/>
    </xf>
    <xf numFmtId="0" fontId="9" fillId="0" borderId="52" xfId="0" applyFont="1" applyBorder="1" applyAlignment="1" applyProtection="1">
      <alignment wrapText="1"/>
      <protection locked="0"/>
    </xf>
    <xf numFmtId="0" fontId="71" fillId="0" borderId="0" xfId="0" applyFont="1" applyAlignment="1">
      <alignment horizontal="center" vertical="center" wrapText="1"/>
    </xf>
    <xf numFmtId="0" fontId="54" fillId="0" borderId="21" xfId="0" applyFont="1" applyBorder="1" applyAlignment="1" applyProtection="1">
      <alignment wrapText="1"/>
      <protection locked="0"/>
    </xf>
    <xf numFmtId="0" fontId="54" fillId="6" borderId="21" xfId="0" applyFont="1" applyFill="1" applyBorder="1" applyAlignment="1" applyProtection="1">
      <alignment wrapText="1"/>
      <protection locked="0"/>
    </xf>
    <xf numFmtId="0" fontId="54" fillId="0" borderId="30" xfId="0" applyFont="1" applyBorder="1" applyAlignment="1" applyProtection="1">
      <alignment wrapText="1"/>
      <protection locked="0"/>
    </xf>
    <xf numFmtId="0" fontId="64" fillId="0" borderId="0" xfId="0" applyFont="1" applyAlignment="1">
      <alignment horizontal="center" wrapText="1"/>
    </xf>
    <xf numFmtId="0" fontId="64" fillId="0" borderId="0" xfId="0" applyFont="1" applyAlignment="1">
      <alignment horizontal="center" vertical="center" wrapText="1"/>
    </xf>
    <xf numFmtId="165" fontId="26" fillId="0" borderId="13" xfId="1" applyNumberFormat="1" applyFont="1" applyFill="1" applyBorder="1" applyAlignment="1" applyProtection="1">
      <protection locked="0"/>
    </xf>
    <xf numFmtId="165" fontId="26" fillId="0" borderId="9" xfId="1" applyNumberFormat="1" applyFont="1" applyFill="1" applyBorder="1" applyAlignment="1" applyProtection="1">
      <alignment vertical="top"/>
      <protection locked="0"/>
    </xf>
    <xf numFmtId="0" fontId="72" fillId="0" borderId="0" xfId="0" applyFont="1" applyAlignment="1">
      <alignment horizontal="center" vertical="center" wrapText="1"/>
    </xf>
    <xf numFmtId="0" fontId="64" fillId="0" borderId="79" xfId="0" applyFont="1" applyBorder="1" applyAlignment="1">
      <alignment horizontal="center" wrapText="1"/>
    </xf>
    <xf numFmtId="0" fontId="20" fillId="0" borderId="78" xfId="0" applyFont="1" applyBorder="1" applyAlignment="1" applyProtection="1">
      <alignment wrapText="1"/>
      <protection locked="0"/>
    </xf>
    <xf numFmtId="165" fontId="0" fillId="16" borderId="72" xfId="1" applyNumberFormat="1" applyFont="1" applyFill="1" applyBorder="1" applyAlignment="1">
      <alignment vertical="center"/>
    </xf>
    <xf numFmtId="165" fontId="0" fillId="16" borderId="76" xfId="1" applyNumberFormat="1" applyFont="1" applyFill="1" applyBorder="1" applyAlignment="1">
      <alignment vertical="center"/>
    </xf>
    <xf numFmtId="1" fontId="0" fillId="15" borderId="81" xfId="1" applyNumberFormat="1" applyFont="1" applyFill="1" applyBorder="1" applyAlignment="1" applyProtection="1">
      <alignment horizontal="right" vertical="center"/>
    </xf>
    <xf numFmtId="1" fontId="0" fillId="15" borderId="44" xfId="1" applyNumberFormat="1" applyFont="1" applyFill="1" applyBorder="1" applyAlignment="1" applyProtection="1">
      <alignment horizontal="right" vertical="center"/>
    </xf>
    <xf numFmtId="2" fontId="20" fillId="14" borderId="15" xfId="0" applyNumberFormat="1" applyFont="1" applyFill="1" applyBorder="1" applyAlignment="1">
      <alignment wrapText="1"/>
    </xf>
    <xf numFmtId="2" fontId="20" fillId="14" borderId="7" xfId="0" applyNumberFormat="1" applyFont="1" applyFill="1" applyBorder="1" applyAlignment="1">
      <alignment wrapText="1"/>
    </xf>
    <xf numFmtId="2" fontId="20" fillId="14" borderId="16" xfId="0" applyNumberFormat="1" applyFont="1" applyFill="1" applyBorder="1" applyAlignment="1">
      <alignment wrapText="1"/>
    </xf>
    <xf numFmtId="2" fontId="20" fillId="14" borderId="9" xfId="0" applyNumberFormat="1" applyFont="1" applyFill="1" applyBorder="1" applyAlignment="1">
      <alignment wrapText="1"/>
    </xf>
    <xf numFmtId="0" fontId="33" fillId="10" borderId="97" xfId="0" applyFont="1" applyFill="1" applyBorder="1"/>
    <xf numFmtId="0" fontId="33" fillId="10" borderId="0" xfId="0" applyFont="1" applyFill="1"/>
    <xf numFmtId="0" fontId="33" fillId="10" borderId="98" xfId="0" applyFont="1" applyFill="1" applyBorder="1"/>
    <xf numFmtId="166" fontId="20" fillId="13" borderId="14" xfId="0" applyNumberFormat="1" applyFont="1" applyFill="1" applyBorder="1" applyAlignment="1">
      <alignment wrapText="1"/>
    </xf>
    <xf numFmtId="0" fontId="23" fillId="16" borderId="0" xfId="0" applyFont="1" applyFill="1" applyAlignment="1">
      <alignment vertical="center"/>
    </xf>
    <xf numFmtId="0" fontId="6" fillId="16" borderId="0" xfId="0" applyFont="1" applyFill="1" applyAlignment="1">
      <alignment vertical="center"/>
    </xf>
    <xf numFmtId="0" fontId="0" fillId="0" borderId="36" xfId="0" applyBorder="1" applyAlignment="1">
      <alignment wrapText="1"/>
    </xf>
    <xf numFmtId="0" fontId="0" fillId="0" borderId="66" xfId="0" applyBorder="1" applyAlignment="1">
      <alignment wrapText="1"/>
    </xf>
    <xf numFmtId="0" fontId="0" fillId="3" borderId="0" xfId="0" applyFill="1" applyAlignment="1">
      <alignment horizontal="left" vertical="center" wrapText="1" indent="2"/>
    </xf>
    <xf numFmtId="1" fontId="6" fillId="15" borderId="12" xfId="1" applyNumberFormat="1" applyFont="1" applyFill="1" applyBorder="1" applyAlignment="1" applyProtection="1">
      <alignment horizontal="right" vertical="center" wrapText="1"/>
    </xf>
    <xf numFmtId="1" fontId="6" fillId="15" borderId="76" xfId="1" applyNumberFormat="1" applyFont="1" applyFill="1" applyBorder="1" applyAlignment="1" applyProtection="1">
      <alignment horizontal="right" vertical="center" wrapText="1"/>
    </xf>
    <xf numFmtId="0" fontId="9" fillId="0" borderId="30" xfId="0" applyFont="1" applyBorder="1" applyAlignment="1">
      <alignment wrapText="1"/>
    </xf>
    <xf numFmtId="168" fontId="20" fillId="13" borderId="99" xfId="0" applyNumberFormat="1" applyFont="1" applyFill="1" applyBorder="1" applyAlignment="1">
      <alignment wrapText="1"/>
    </xf>
    <xf numFmtId="168" fontId="20" fillId="13" borderId="81" xfId="0" applyNumberFormat="1" applyFont="1" applyFill="1" applyBorder="1" applyAlignment="1">
      <alignment wrapText="1"/>
    </xf>
    <xf numFmtId="165" fontId="22" fillId="16" borderId="71" xfId="1" applyNumberFormat="1" applyFont="1" applyFill="1" applyBorder="1" applyAlignment="1" applyProtection="1">
      <alignment vertical="center"/>
    </xf>
    <xf numFmtId="165" fontId="22" fillId="16" borderId="46" xfId="1" applyNumberFormat="1" applyFont="1" applyFill="1" applyBorder="1" applyAlignment="1" applyProtection="1">
      <alignment vertical="center"/>
    </xf>
    <xf numFmtId="165" fontId="22" fillId="16" borderId="81" xfId="1" applyNumberFormat="1" applyFont="1" applyFill="1" applyBorder="1" applyAlignment="1" applyProtection="1">
      <alignment vertical="center"/>
    </xf>
    <xf numFmtId="165" fontId="22" fillId="16" borderId="44" xfId="1" applyNumberFormat="1" applyFont="1" applyFill="1" applyBorder="1" applyAlignment="1" applyProtection="1">
      <alignment vertical="center"/>
    </xf>
    <xf numFmtId="168" fontId="23" fillId="16" borderId="45" xfId="1" applyNumberFormat="1" applyFont="1" applyFill="1" applyBorder="1" applyAlignment="1" applyProtection="1">
      <alignment vertical="center"/>
    </xf>
    <xf numFmtId="168" fontId="23" fillId="16" borderId="46" xfId="1" applyNumberFormat="1" applyFont="1" applyFill="1" applyBorder="1" applyAlignment="1" applyProtection="1">
      <alignment vertical="center"/>
    </xf>
    <xf numFmtId="168" fontId="23" fillId="16" borderId="72" xfId="1" applyNumberFormat="1" applyFont="1" applyFill="1" applyBorder="1" applyAlignment="1" applyProtection="1">
      <alignment vertical="center"/>
    </xf>
    <xf numFmtId="168" fontId="23" fillId="16" borderId="76" xfId="1" applyNumberFormat="1" applyFont="1" applyFill="1" applyBorder="1" applyAlignment="1" applyProtection="1">
      <alignment vertical="center"/>
    </xf>
    <xf numFmtId="165" fontId="0" fillId="0" borderId="41" xfId="1" applyNumberFormat="1" applyFont="1" applyFill="1" applyBorder="1" applyAlignment="1" applyProtection="1">
      <alignment horizontal="right" vertical="center"/>
    </xf>
    <xf numFmtId="165" fontId="0" fillId="0" borderId="44" xfId="1" applyNumberFormat="1" applyFont="1" applyFill="1" applyBorder="1" applyAlignment="1" applyProtection="1">
      <alignment horizontal="right" vertical="center"/>
    </xf>
    <xf numFmtId="165" fontId="0" fillId="0" borderId="81" xfId="1" applyNumberFormat="1" applyFont="1" applyBorder="1" applyAlignment="1" applyProtection="1">
      <alignment horizontal="right" vertical="center"/>
    </xf>
    <xf numFmtId="165" fontId="0" fillId="0" borderId="44" xfId="1" applyNumberFormat="1" applyFont="1" applyBorder="1" applyAlignment="1" applyProtection="1">
      <alignment horizontal="right" vertical="center"/>
    </xf>
    <xf numFmtId="165" fontId="0" fillId="0" borderId="41" xfId="1" applyNumberFormat="1" applyFont="1" applyBorder="1" applyAlignment="1" applyProtection="1">
      <alignment horizontal="right" vertical="center"/>
    </xf>
    <xf numFmtId="165" fontId="0" fillId="0" borderId="35" xfId="1" applyNumberFormat="1" applyFont="1" applyBorder="1" applyAlignment="1" applyProtection="1">
      <alignment horizontal="right" vertical="center"/>
    </xf>
    <xf numFmtId="165" fontId="0" fillId="0" borderId="68" xfId="1" applyNumberFormat="1" applyFont="1" applyBorder="1" applyAlignment="1" applyProtection="1">
      <alignment horizontal="right" vertical="center"/>
    </xf>
    <xf numFmtId="165" fontId="6" fillId="0" borderId="41" xfId="1" applyNumberFormat="1" applyFont="1" applyFill="1" applyBorder="1" applyAlignment="1" applyProtection="1">
      <alignment horizontal="right"/>
    </xf>
    <xf numFmtId="165" fontId="6" fillId="0" borderId="44" xfId="1" applyNumberFormat="1" applyFont="1" applyFill="1" applyBorder="1" applyAlignment="1" applyProtection="1">
      <alignment horizontal="right"/>
    </xf>
    <xf numFmtId="165" fontId="6" fillId="0" borderId="4" xfId="1" applyNumberFormat="1" applyFont="1" applyFill="1" applyBorder="1" applyAlignment="1" applyProtection="1">
      <alignment horizontal="right"/>
    </xf>
    <xf numFmtId="165" fontId="6" fillId="0" borderId="32" xfId="1" applyNumberFormat="1" applyFont="1" applyFill="1" applyBorder="1" applyAlignment="1" applyProtection="1">
      <alignment horizontal="right"/>
    </xf>
    <xf numFmtId="1" fontId="23" fillId="0" borderId="4" xfId="1" applyNumberFormat="1" applyFont="1" applyFill="1" applyBorder="1" applyAlignment="1" applyProtection="1">
      <alignment horizontal="right"/>
    </xf>
    <xf numFmtId="1" fontId="23" fillId="0" borderId="32" xfId="1" applyNumberFormat="1" applyFont="1" applyFill="1" applyBorder="1" applyAlignment="1" applyProtection="1">
      <alignment horizontal="right"/>
    </xf>
    <xf numFmtId="1" fontId="0" fillId="0" borderId="41" xfId="1" applyNumberFormat="1" applyFont="1" applyBorder="1" applyAlignment="1" applyProtection="1">
      <alignment horizontal="right"/>
    </xf>
    <xf numFmtId="1" fontId="0" fillId="0" borderId="44" xfId="1" applyNumberFormat="1" applyFont="1" applyBorder="1" applyAlignment="1" applyProtection="1">
      <alignment horizontal="right"/>
    </xf>
    <xf numFmtId="1" fontId="0" fillId="0" borderId="41" xfId="1" applyNumberFormat="1" applyFont="1" applyFill="1" applyBorder="1" applyAlignment="1" applyProtection="1">
      <alignment horizontal="right" vertical="center"/>
    </xf>
    <xf numFmtId="1" fontId="0" fillId="0" borderId="44" xfId="1" applyNumberFormat="1" applyFont="1" applyFill="1" applyBorder="1" applyAlignment="1" applyProtection="1">
      <alignment horizontal="right" vertical="center"/>
    </xf>
    <xf numFmtId="1" fontId="0" fillId="0" borderId="81" xfId="1" applyNumberFormat="1" applyFont="1" applyBorder="1" applyAlignment="1" applyProtection="1">
      <alignment horizontal="right" vertical="center"/>
    </xf>
    <xf numFmtId="1" fontId="0" fillId="0" borderId="44" xfId="1" applyNumberFormat="1" applyFont="1" applyBorder="1" applyAlignment="1" applyProtection="1">
      <alignment horizontal="right" vertical="center"/>
    </xf>
    <xf numFmtId="1" fontId="0" fillId="0" borderId="41" xfId="1" applyNumberFormat="1" applyFont="1" applyFill="1" applyBorder="1" applyAlignment="1" applyProtection="1">
      <alignment horizontal="right"/>
    </xf>
    <xf numFmtId="1" fontId="0" fillId="0" borderId="44" xfId="1" applyNumberFormat="1" applyFont="1" applyFill="1" applyBorder="1" applyAlignment="1" applyProtection="1">
      <alignment horizontal="right"/>
    </xf>
    <xf numFmtId="1" fontId="6" fillId="0" borderId="80" xfId="1" applyNumberFormat="1" applyFont="1" applyBorder="1" applyAlignment="1" applyProtection="1">
      <alignment horizontal="right"/>
    </xf>
    <xf numFmtId="165" fontId="0" fillId="0" borderId="36" xfId="0" applyNumberFormat="1" applyBorder="1" applyAlignment="1">
      <alignment horizontal="right"/>
    </xf>
    <xf numFmtId="165" fontId="0" fillId="0" borderId="2" xfId="0" applyNumberFormat="1" applyBorder="1" applyAlignment="1">
      <alignment horizontal="right"/>
    </xf>
    <xf numFmtId="165" fontId="0" fillId="0" borderId="66" xfId="0" applyNumberFormat="1" applyBorder="1" applyAlignment="1">
      <alignment horizontal="right"/>
    </xf>
    <xf numFmtId="165" fontId="0" fillId="0" borderId="65" xfId="0" applyNumberFormat="1" applyBorder="1" applyAlignment="1">
      <alignment horizontal="right"/>
    </xf>
    <xf numFmtId="165" fontId="0" fillId="0" borderId="71" xfId="1" applyNumberFormat="1" applyFont="1" applyBorder="1" applyAlignment="1" applyProtection="1"/>
    <xf numFmtId="165" fontId="0" fillId="0" borderId="46" xfId="1" applyNumberFormat="1" applyFont="1" applyBorder="1" applyAlignment="1" applyProtection="1"/>
    <xf numFmtId="165" fontId="0" fillId="0" borderId="81" xfId="1" applyNumberFormat="1" applyFont="1" applyBorder="1" applyAlignment="1"/>
    <xf numFmtId="165" fontId="0" fillId="0" borderId="44" xfId="1" applyNumberFormat="1" applyFont="1" applyBorder="1" applyAlignment="1"/>
    <xf numFmtId="165" fontId="0" fillId="0" borderId="12" xfId="1" applyNumberFormat="1" applyFont="1" applyBorder="1" applyAlignment="1"/>
    <xf numFmtId="165" fontId="0" fillId="0" borderId="76" xfId="1" applyNumberFormat="1" applyFont="1" applyBorder="1" applyAlignment="1"/>
    <xf numFmtId="1" fontId="6" fillId="3" borderId="82" xfId="1" applyNumberFormat="1" applyFont="1" applyFill="1" applyBorder="1" applyAlignment="1" applyProtection="1">
      <alignment horizontal="right" vertical="center" wrapText="1"/>
    </xf>
    <xf numFmtId="1" fontId="0" fillId="3" borderId="20" xfId="1" applyNumberFormat="1" applyFont="1" applyFill="1" applyBorder="1" applyAlignment="1" applyProtection="1">
      <alignment horizontal="right"/>
    </xf>
    <xf numFmtId="1" fontId="0" fillId="3" borderId="79" xfId="1" applyNumberFormat="1" applyFont="1" applyFill="1" applyBorder="1" applyAlignment="1" applyProtection="1">
      <alignment horizontal="right"/>
    </xf>
    <xf numFmtId="1" fontId="0" fillId="3" borderId="81" xfId="1" applyNumberFormat="1" applyFont="1" applyFill="1" applyBorder="1" applyAlignment="1" applyProtection="1">
      <alignment horizontal="right" vertical="center"/>
    </xf>
    <xf numFmtId="1" fontId="0" fillId="3" borderId="44" xfId="1" applyNumberFormat="1" applyFont="1" applyFill="1" applyBorder="1" applyAlignment="1" applyProtection="1">
      <alignment horizontal="right" vertical="center"/>
    </xf>
    <xf numFmtId="1" fontId="0" fillId="3" borderId="12" xfId="1" applyNumberFormat="1" applyFont="1" applyFill="1" applyBorder="1" applyAlignment="1" applyProtection="1">
      <alignment horizontal="right" vertical="center"/>
    </xf>
    <xf numFmtId="1" fontId="0" fillId="3" borderId="76" xfId="1" applyNumberFormat="1" applyFont="1" applyFill="1" applyBorder="1" applyAlignment="1" applyProtection="1">
      <alignment horizontal="right" vertical="center"/>
    </xf>
    <xf numFmtId="1" fontId="6" fillId="3" borderId="77" xfId="1" applyNumberFormat="1" applyFont="1" applyFill="1" applyBorder="1" applyAlignment="1" applyProtection="1">
      <alignment horizontal="right" vertical="center" wrapText="1"/>
    </xf>
    <xf numFmtId="168" fontId="23" fillId="16" borderId="23" xfId="1" applyNumberFormat="1" applyFont="1" applyFill="1" applyBorder="1" applyAlignment="1" applyProtection="1">
      <alignment vertical="center"/>
    </xf>
    <xf numFmtId="168" fontId="23" fillId="16" borderId="80" xfId="1" applyNumberFormat="1" applyFont="1" applyFill="1" applyBorder="1" applyAlignment="1" applyProtection="1">
      <alignment vertical="center"/>
    </xf>
    <xf numFmtId="165" fontId="0" fillId="0" borderId="35" xfId="1" applyNumberFormat="1" applyFont="1" applyFill="1" applyBorder="1" applyAlignment="1" applyProtection="1">
      <alignment horizontal="right" vertical="center"/>
    </xf>
    <xf numFmtId="165" fontId="0" fillId="0" borderId="68" xfId="1" applyNumberFormat="1" applyFont="1" applyFill="1" applyBorder="1" applyAlignment="1" applyProtection="1">
      <alignment horizontal="right" vertical="center"/>
    </xf>
    <xf numFmtId="1" fontId="23" fillId="0" borderId="41" xfId="1" applyNumberFormat="1" applyFont="1" applyFill="1" applyBorder="1" applyAlignment="1" applyProtection="1">
      <alignment horizontal="right"/>
    </xf>
    <xf numFmtId="1" fontId="23" fillId="0" borderId="44" xfId="1" applyNumberFormat="1" applyFont="1" applyFill="1" applyBorder="1" applyAlignment="1" applyProtection="1">
      <alignment horizontal="right"/>
    </xf>
    <xf numFmtId="1" fontId="0" fillId="0" borderId="41" xfId="1" applyNumberFormat="1" applyFont="1" applyBorder="1" applyAlignment="1" applyProtection="1">
      <alignment horizontal="right" vertical="center"/>
    </xf>
    <xf numFmtId="165" fontId="6" fillId="0" borderId="83" xfId="1" applyNumberFormat="1" applyFont="1" applyBorder="1" applyAlignment="1" applyProtection="1">
      <alignment horizontal="right"/>
    </xf>
    <xf numFmtId="165" fontId="6" fillId="0" borderId="80" xfId="1" applyNumberFormat="1" applyFont="1" applyBorder="1" applyAlignment="1" applyProtection="1">
      <alignment horizontal="right"/>
    </xf>
    <xf numFmtId="1" fontId="6" fillId="3" borderId="83" xfId="1" applyNumberFormat="1" applyFont="1" applyFill="1" applyBorder="1" applyAlignment="1" applyProtection="1">
      <alignment horizontal="right" wrapText="1"/>
    </xf>
    <xf numFmtId="1" fontId="6" fillId="3" borderId="80" xfId="1" applyNumberFormat="1" applyFont="1" applyFill="1" applyBorder="1" applyAlignment="1" applyProtection="1">
      <alignment horizontal="right" wrapText="1"/>
    </xf>
    <xf numFmtId="1" fontId="6" fillId="3" borderId="12" xfId="1" applyNumberFormat="1" applyFont="1" applyFill="1" applyBorder="1" applyAlignment="1" applyProtection="1">
      <alignment horizontal="right" wrapText="1"/>
    </xf>
    <xf numFmtId="1" fontId="6" fillId="3" borderId="76" xfId="1" applyNumberFormat="1" applyFont="1" applyFill="1" applyBorder="1" applyAlignment="1" applyProtection="1">
      <alignment horizontal="right" wrapText="1"/>
    </xf>
    <xf numFmtId="165" fontId="6" fillId="0" borderId="4" xfId="1" applyNumberFormat="1" applyFont="1" applyFill="1" applyBorder="1" applyAlignment="1" applyProtection="1">
      <alignment horizontal="right" vertical="center"/>
    </xf>
    <xf numFmtId="165" fontId="6" fillId="0" borderId="32" xfId="1" applyNumberFormat="1" applyFont="1" applyFill="1" applyBorder="1" applyAlignment="1" applyProtection="1">
      <alignment horizontal="right" vertical="center"/>
    </xf>
    <xf numFmtId="1" fontId="6" fillId="0" borderId="83" xfId="1" applyNumberFormat="1" applyFont="1" applyBorder="1" applyAlignment="1" applyProtection="1">
      <alignment horizontal="right"/>
    </xf>
    <xf numFmtId="165" fontId="6" fillId="15" borderId="20" xfId="1" applyNumberFormat="1" applyFont="1" applyFill="1" applyBorder="1" applyAlignment="1" applyProtection="1">
      <alignment horizontal="right" vertical="center"/>
    </xf>
    <xf numFmtId="165" fontId="6" fillId="15" borderId="79" xfId="1" applyNumberFormat="1" applyFont="1" applyFill="1" applyBorder="1" applyAlignment="1" applyProtection="1">
      <alignment horizontal="right" vertical="center"/>
    </xf>
    <xf numFmtId="1" fontId="6" fillId="15" borderId="20" xfId="1" applyNumberFormat="1" applyFont="1" applyFill="1" applyBorder="1" applyAlignment="1" applyProtection="1">
      <alignment horizontal="right" vertical="center"/>
    </xf>
    <xf numFmtId="1" fontId="6" fillId="15" borderId="79" xfId="1" applyNumberFormat="1" applyFont="1" applyFill="1" applyBorder="1" applyAlignment="1" applyProtection="1">
      <alignment horizontal="right" vertical="center"/>
    </xf>
    <xf numFmtId="1" fontId="6" fillId="15" borderId="77" xfId="1" applyNumberFormat="1" applyFont="1" applyFill="1" applyBorder="1" applyAlignment="1" applyProtection="1">
      <alignment horizontal="right" vertical="center"/>
    </xf>
    <xf numFmtId="1" fontId="6" fillId="15" borderId="65" xfId="1" applyNumberFormat="1" applyFont="1" applyFill="1" applyBorder="1" applyAlignment="1" applyProtection="1">
      <alignment horizontal="right" vertical="center"/>
    </xf>
    <xf numFmtId="0" fontId="64" fillId="0" borderId="0" xfId="0" applyFont="1" applyAlignment="1">
      <alignment wrapText="1"/>
    </xf>
    <xf numFmtId="0" fontId="26" fillId="2" borderId="21" xfId="0" applyFont="1" applyFill="1" applyBorder="1" applyAlignment="1" applyProtection="1">
      <alignment wrapText="1"/>
      <protection locked="0"/>
    </xf>
    <xf numFmtId="0" fontId="26" fillId="2" borderId="30" xfId="0" applyFont="1" applyFill="1" applyBorder="1" applyAlignment="1" applyProtection="1">
      <alignment wrapText="1"/>
      <protection locked="0"/>
    </xf>
    <xf numFmtId="0" fontId="26" fillId="0" borderId="30" xfId="0" applyFont="1" applyBorder="1" applyAlignment="1" applyProtection="1">
      <alignment wrapText="1"/>
      <protection locked="0"/>
    </xf>
    <xf numFmtId="164" fontId="0" fillId="6" borderId="7" xfId="1" applyNumberFormat="1" applyFont="1" applyFill="1" applyBorder="1" applyAlignment="1" applyProtection="1">
      <alignment horizontal="right"/>
      <protection locked="0"/>
    </xf>
    <xf numFmtId="9" fontId="0" fillId="6" borderId="7" xfId="0" applyNumberFormat="1" applyFill="1" applyBorder="1" applyAlignment="1" applyProtection="1">
      <alignment horizontal="right"/>
      <protection locked="0"/>
    </xf>
    <xf numFmtId="0" fontId="8" fillId="2" borderId="0" xfId="0" applyFont="1" applyFill="1" applyAlignment="1">
      <alignment vertical="top"/>
    </xf>
    <xf numFmtId="0" fontId="8" fillId="2" borderId="0" xfId="0" applyFont="1" applyFill="1"/>
    <xf numFmtId="0" fontId="8" fillId="2" borderId="0" xfId="1" applyNumberFormat="1" applyFont="1" applyFill="1" applyBorder="1" applyAlignment="1" applyProtection="1">
      <alignment horizontal="right" vertical="center"/>
    </xf>
    <xf numFmtId="165" fontId="28" fillId="2" borderId="0" xfId="0" applyNumberFormat="1" applyFont="1" applyFill="1"/>
    <xf numFmtId="0" fontId="23" fillId="15" borderId="1" xfId="0" applyFont="1" applyFill="1" applyBorder="1"/>
    <xf numFmtId="0" fontId="23" fillId="15" borderId="22" xfId="0" applyFont="1" applyFill="1" applyBorder="1"/>
    <xf numFmtId="0" fontId="22" fillId="15" borderId="71" xfId="0" applyFont="1" applyFill="1" applyBorder="1" applyAlignment="1">
      <alignment horizontal="center"/>
    </xf>
    <xf numFmtId="0" fontId="22" fillId="15" borderId="36" xfId="0" applyFont="1" applyFill="1" applyBorder="1" applyAlignment="1">
      <alignment horizontal="center"/>
    </xf>
    <xf numFmtId="0" fontId="22" fillId="15" borderId="2" xfId="0" applyFont="1" applyFill="1" applyBorder="1" applyAlignment="1">
      <alignment horizontal="center"/>
    </xf>
    <xf numFmtId="0" fontId="23" fillId="15" borderId="22" xfId="0" applyFont="1" applyFill="1" applyBorder="1" applyAlignment="1">
      <alignment vertical="center"/>
    </xf>
    <xf numFmtId="165" fontId="23" fillId="15" borderId="71" xfId="0" applyNumberFormat="1" applyFont="1" applyFill="1" applyBorder="1" applyAlignment="1">
      <alignment horizontal="right" vertical="center"/>
    </xf>
    <xf numFmtId="165" fontId="23" fillId="15" borderId="46" xfId="0" applyNumberFormat="1" applyFont="1" applyFill="1" applyBorder="1" applyAlignment="1">
      <alignment horizontal="right" vertical="center"/>
    </xf>
    <xf numFmtId="165" fontId="6" fillId="15" borderId="81" xfId="0" applyNumberFormat="1" applyFont="1" applyFill="1" applyBorder="1" applyAlignment="1">
      <alignment horizontal="right" vertical="center"/>
    </xf>
    <xf numFmtId="165" fontId="6" fillId="15" borderId="44" xfId="0" applyNumberFormat="1" applyFont="1" applyFill="1" applyBorder="1" applyAlignment="1">
      <alignment horizontal="right" vertical="center"/>
    </xf>
    <xf numFmtId="1" fontId="6" fillId="15" borderId="81" xfId="0" applyNumberFormat="1" applyFont="1" applyFill="1" applyBorder="1" applyAlignment="1">
      <alignment horizontal="right" vertical="center"/>
    </xf>
    <xf numFmtId="1" fontId="6" fillId="15" borderId="44" xfId="0" applyNumberFormat="1" applyFont="1" applyFill="1" applyBorder="1" applyAlignment="1">
      <alignment horizontal="right" vertical="center"/>
    </xf>
    <xf numFmtId="0" fontId="0" fillId="15" borderId="25" xfId="0" applyFill="1" applyBorder="1"/>
    <xf numFmtId="0" fontId="6" fillId="15" borderId="82" xfId="0" applyFont="1" applyFill="1" applyBorder="1" applyAlignment="1">
      <alignment vertical="center"/>
    </xf>
    <xf numFmtId="165" fontId="6" fillId="15" borderId="83" xfId="0" applyNumberFormat="1" applyFont="1" applyFill="1" applyBorder="1" applyAlignment="1">
      <alignment horizontal="right" vertical="center"/>
    </xf>
    <xf numFmtId="165" fontId="6" fillId="15" borderId="80" xfId="0" applyNumberFormat="1" applyFont="1" applyFill="1" applyBorder="1" applyAlignment="1">
      <alignment horizontal="right" vertical="center"/>
    </xf>
    <xf numFmtId="0" fontId="23" fillId="15" borderId="36" xfId="0" applyFont="1" applyFill="1" applyBorder="1"/>
    <xf numFmtId="0" fontId="22" fillId="15" borderId="45" xfId="0" applyFont="1" applyFill="1" applyBorder="1" applyAlignment="1">
      <alignment horizontal="center"/>
    </xf>
    <xf numFmtId="0" fontId="22" fillId="15" borderId="46" xfId="0" applyFont="1" applyFill="1" applyBorder="1" applyAlignment="1">
      <alignment horizontal="center"/>
    </xf>
    <xf numFmtId="0" fontId="0" fillId="15" borderId="1" xfId="0" applyFill="1" applyBorder="1"/>
    <xf numFmtId="0" fontId="0" fillId="15" borderId="22" xfId="0" applyFill="1" applyBorder="1" applyAlignment="1">
      <alignment horizontal="left" vertical="center"/>
    </xf>
    <xf numFmtId="0" fontId="23" fillId="15" borderId="69" xfId="0" applyFont="1" applyFill="1" applyBorder="1"/>
    <xf numFmtId="1" fontId="23" fillId="15" borderId="77" xfId="0" applyNumberFormat="1" applyFont="1" applyFill="1" applyBorder="1" applyAlignment="1">
      <alignment horizontal="right" vertical="center" wrapText="1"/>
    </xf>
    <xf numFmtId="0" fontId="44" fillId="0" borderId="0" xfId="0" applyFont="1" applyAlignment="1">
      <alignment horizontal="left" vertical="top" wrapText="1"/>
    </xf>
    <xf numFmtId="165" fontId="0" fillId="0" borderId="3" xfId="1" applyNumberFormat="1" applyFont="1" applyFill="1" applyBorder="1" applyProtection="1"/>
    <xf numFmtId="0" fontId="20" fillId="0" borderId="15" xfId="0" applyFont="1" applyBorder="1" applyAlignment="1" applyProtection="1">
      <alignment horizontal="left" wrapText="1"/>
      <protection locked="0"/>
    </xf>
    <xf numFmtId="0" fontId="20" fillId="0" borderId="16" xfId="0" applyFont="1" applyBorder="1" applyAlignment="1" applyProtection="1">
      <alignment horizontal="left" wrapText="1"/>
      <protection locked="0"/>
    </xf>
    <xf numFmtId="0" fontId="26" fillId="0" borderId="14" xfId="0" applyFont="1" applyBorder="1" applyAlignment="1">
      <alignment wrapText="1"/>
    </xf>
    <xf numFmtId="0" fontId="26" fillId="0" borderId="29" xfId="0" applyFont="1" applyBorder="1" applyAlignment="1">
      <alignment wrapText="1"/>
    </xf>
    <xf numFmtId="165" fontId="23" fillId="0" borderId="4" xfId="1" applyNumberFormat="1" applyFont="1" applyFill="1" applyBorder="1" applyAlignment="1" applyProtection="1">
      <alignment horizontal="right"/>
    </xf>
    <xf numFmtId="165" fontId="23" fillId="0" borderId="32" xfId="1" applyNumberFormat="1" applyFont="1" applyFill="1" applyBorder="1" applyAlignment="1" applyProtection="1">
      <alignment horizontal="right"/>
    </xf>
    <xf numFmtId="165" fontId="0" fillId="0" borderId="41" xfId="1" applyNumberFormat="1" applyFont="1" applyBorder="1" applyAlignment="1" applyProtection="1">
      <alignment horizontal="right"/>
    </xf>
    <xf numFmtId="165" fontId="0" fillId="0" borderId="44" xfId="1" applyNumberFormat="1" applyFont="1" applyBorder="1" applyAlignment="1" applyProtection="1">
      <alignment horizontal="right"/>
    </xf>
    <xf numFmtId="165" fontId="0" fillId="0" borderId="41" xfId="1" applyNumberFormat="1" applyFont="1" applyFill="1" applyBorder="1" applyAlignment="1" applyProtection="1">
      <alignment horizontal="right"/>
    </xf>
    <xf numFmtId="165" fontId="0" fillId="0" borderId="44" xfId="1" applyNumberFormat="1" applyFont="1" applyFill="1" applyBorder="1" applyAlignment="1" applyProtection="1">
      <alignment horizontal="right"/>
    </xf>
    <xf numFmtId="165" fontId="0" fillId="0" borderId="41" xfId="0" applyNumberFormat="1" applyBorder="1" applyAlignment="1">
      <alignment horizontal="right"/>
    </xf>
    <xf numFmtId="165" fontId="0" fillId="0" borderId="44" xfId="0" applyNumberFormat="1" applyBorder="1" applyAlignment="1">
      <alignment horizontal="right"/>
    </xf>
    <xf numFmtId="165" fontId="14" fillId="0" borderId="72" xfId="1" applyNumberFormat="1" applyFont="1" applyBorder="1" applyAlignment="1" applyProtection="1">
      <alignment horizontal="right" vertical="center"/>
    </xf>
    <xf numFmtId="165" fontId="14" fillId="0" borderId="76" xfId="1" applyNumberFormat="1" applyFont="1" applyBorder="1" applyAlignment="1" applyProtection="1">
      <alignment horizontal="right" vertical="center"/>
    </xf>
    <xf numFmtId="165" fontId="6" fillId="0" borderId="23" xfId="1" applyNumberFormat="1" applyFont="1" applyBorder="1" applyAlignment="1" applyProtection="1">
      <alignment horizontal="right"/>
    </xf>
    <xf numFmtId="165" fontId="6" fillId="0" borderId="82" xfId="1" applyNumberFormat="1" applyFont="1" applyBorder="1" applyAlignment="1" applyProtection="1">
      <alignment vertical="center"/>
    </xf>
    <xf numFmtId="165" fontId="6" fillId="0" borderId="26" xfId="1" applyNumberFormat="1" applyFont="1" applyBorder="1" applyAlignment="1" applyProtection="1">
      <alignment vertical="center"/>
    </xf>
    <xf numFmtId="165" fontId="6" fillId="3" borderId="82" xfId="1" applyNumberFormat="1" applyFont="1" applyFill="1" applyBorder="1" applyAlignment="1" applyProtection="1">
      <alignment horizontal="right" vertical="center" wrapText="1"/>
    </xf>
    <xf numFmtId="165" fontId="6" fillId="3" borderId="26" xfId="1" applyNumberFormat="1" applyFont="1" applyFill="1" applyBorder="1" applyAlignment="1" applyProtection="1">
      <alignment horizontal="right" vertical="center" wrapText="1"/>
    </xf>
    <xf numFmtId="165" fontId="0" fillId="3" borderId="20" xfId="1" applyNumberFormat="1" applyFont="1" applyFill="1" applyBorder="1" applyAlignment="1" applyProtection="1">
      <alignment horizontal="right"/>
    </xf>
    <xf numFmtId="165" fontId="0" fillId="3" borderId="79" xfId="1" applyNumberFormat="1" applyFont="1" applyFill="1" applyBorder="1" applyAlignment="1" applyProtection="1">
      <alignment horizontal="right"/>
    </xf>
    <xf numFmtId="165" fontId="0" fillId="3" borderId="81" xfId="1" applyNumberFormat="1" applyFont="1" applyFill="1" applyBorder="1" applyAlignment="1" applyProtection="1">
      <alignment horizontal="right" vertical="center"/>
    </xf>
    <xf numFmtId="165" fontId="0" fillId="3" borderId="44" xfId="1" applyNumberFormat="1" applyFont="1" applyFill="1" applyBorder="1" applyAlignment="1" applyProtection="1">
      <alignment horizontal="right" vertical="center"/>
    </xf>
    <xf numFmtId="165" fontId="0" fillId="3" borderId="12" xfId="1" applyNumberFormat="1" applyFont="1" applyFill="1" applyBorder="1" applyAlignment="1" applyProtection="1">
      <alignment horizontal="right" vertical="center"/>
    </xf>
    <xf numFmtId="165" fontId="0" fillId="3" borderId="76" xfId="1" applyNumberFormat="1" applyFont="1" applyFill="1" applyBorder="1" applyAlignment="1" applyProtection="1">
      <alignment horizontal="right" vertical="center"/>
    </xf>
    <xf numFmtId="165" fontId="6" fillId="3" borderId="77" xfId="1" applyNumberFormat="1" applyFont="1" applyFill="1" applyBorder="1" applyAlignment="1" applyProtection="1">
      <alignment horizontal="right" vertical="center" wrapText="1"/>
    </xf>
    <xf numFmtId="165" fontId="6" fillId="3" borderId="65" xfId="1" applyNumberFormat="1" applyFont="1" applyFill="1" applyBorder="1" applyAlignment="1" applyProtection="1">
      <alignment horizontal="right" vertical="center" wrapText="1"/>
    </xf>
    <xf numFmtId="165" fontId="6" fillId="15" borderId="12" xfId="0" applyNumberFormat="1" applyFont="1" applyFill="1" applyBorder="1" applyAlignment="1">
      <alignment horizontal="right" vertical="center"/>
    </xf>
    <xf numFmtId="165" fontId="6" fillId="15" borderId="76" xfId="0" applyNumberFormat="1" applyFont="1" applyFill="1" applyBorder="1" applyAlignment="1">
      <alignment horizontal="right" vertical="center"/>
    </xf>
    <xf numFmtId="165" fontId="0" fillId="15" borderId="22" xfId="0" applyNumberFormat="1" applyFill="1" applyBorder="1" applyAlignment="1">
      <alignment horizontal="right" vertical="center"/>
    </xf>
    <xf numFmtId="165" fontId="0" fillId="15" borderId="2" xfId="0" applyNumberFormat="1" applyFill="1" applyBorder="1" applyAlignment="1">
      <alignment horizontal="right" vertical="center"/>
    </xf>
    <xf numFmtId="165" fontId="23" fillId="15" borderId="77" xfId="0" applyNumberFormat="1" applyFont="1" applyFill="1" applyBorder="1" applyAlignment="1">
      <alignment horizontal="right" vertical="center" wrapText="1"/>
    </xf>
    <xf numFmtId="165" fontId="23" fillId="15" borderId="65" xfId="0" applyNumberFormat="1" applyFont="1" applyFill="1" applyBorder="1" applyAlignment="1">
      <alignment horizontal="right" vertical="center" wrapText="1"/>
    </xf>
    <xf numFmtId="0" fontId="0" fillId="5" borderId="0" xfId="0" applyFill="1" applyAlignment="1" applyProtection="1">
      <alignment horizontal="left" vertical="top" wrapText="1"/>
      <protection locked="0"/>
    </xf>
    <xf numFmtId="0" fontId="8" fillId="5" borderId="0" xfId="0" applyFont="1" applyFill="1" applyAlignment="1" applyProtection="1">
      <alignment horizontal="left" vertical="top" wrapText="1"/>
      <protection locked="0"/>
    </xf>
    <xf numFmtId="0" fontId="44" fillId="0" borderId="1" xfId="0" applyFont="1" applyBorder="1" applyAlignment="1">
      <alignment horizontal="left" wrapText="1"/>
    </xf>
    <xf numFmtId="0" fontId="44" fillId="0" borderId="36" xfId="0" applyFont="1" applyBorder="1" applyAlignment="1">
      <alignment horizontal="left" wrapText="1"/>
    </xf>
    <xf numFmtId="0" fontId="44" fillId="0" borderId="22" xfId="0" applyFont="1" applyBorder="1" applyAlignment="1">
      <alignment horizontal="left" wrapText="1"/>
    </xf>
    <xf numFmtId="0" fontId="44" fillId="0" borderId="6" xfId="0" applyFont="1" applyBorder="1" applyAlignment="1">
      <alignment horizontal="left" vertical="top" wrapText="1"/>
    </xf>
    <xf numFmtId="0" fontId="44" fillId="0" borderId="34" xfId="0" applyFont="1" applyBorder="1" applyAlignment="1">
      <alignment horizontal="left" vertical="top" wrapText="1"/>
    </xf>
    <xf numFmtId="0" fontId="44" fillId="0" borderId="5" xfId="0" applyFont="1" applyBorder="1" applyAlignment="1">
      <alignment horizontal="left" vertical="top" wrapText="1"/>
    </xf>
    <xf numFmtId="0" fontId="9" fillId="0" borderId="48" xfId="0" applyFont="1" applyBorder="1" applyAlignment="1">
      <alignment horizontal="center"/>
    </xf>
    <xf numFmtId="0" fontId="9" fillId="0" borderId="27" xfId="0" applyFont="1" applyBorder="1" applyAlignment="1">
      <alignment horizontal="center"/>
    </xf>
    <xf numFmtId="0" fontId="9" fillId="0" borderId="49" xfId="0" applyFont="1" applyBorder="1" applyAlignment="1">
      <alignment horizontal="center"/>
    </xf>
    <xf numFmtId="0" fontId="69" fillId="0" borderId="29" xfId="0" applyFont="1" applyBorder="1" applyAlignment="1">
      <alignment horizontal="center" wrapText="1"/>
    </xf>
    <xf numFmtId="0" fontId="69" fillId="0" borderId="40" xfId="0" applyFont="1" applyBorder="1" applyAlignment="1">
      <alignment horizontal="center" wrapText="1"/>
    </xf>
    <xf numFmtId="0" fontId="69" fillId="0" borderId="30" xfId="0" applyFont="1" applyBorder="1" applyAlignment="1">
      <alignment horizontal="center" wrapText="1"/>
    </xf>
    <xf numFmtId="0" fontId="26" fillId="0" borderId="15" xfId="0" applyFont="1" applyBorder="1" applyAlignment="1">
      <alignment horizontal="center" wrapText="1"/>
    </xf>
    <xf numFmtId="0" fontId="26" fillId="0" borderId="7" xfId="0" applyFont="1" applyBorder="1" applyAlignment="1">
      <alignment horizontal="center" wrapText="1"/>
    </xf>
    <xf numFmtId="0" fontId="26" fillId="0" borderId="16" xfId="0" applyFont="1" applyBorder="1" applyAlignment="1">
      <alignment horizontal="center" wrapText="1"/>
    </xf>
    <xf numFmtId="0" fontId="26" fillId="0" borderId="9" xfId="0" applyFont="1" applyBorder="1" applyAlignment="1">
      <alignment horizontal="center" wrapText="1"/>
    </xf>
    <xf numFmtId="0" fontId="69" fillId="0" borderId="96" xfId="0" applyFont="1" applyBorder="1" applyAlignment="1">
      <alignment horizontal="center" wrapText="1"/>
    </xf>
    <xf numFmtId="166" fontId="26" fillId="0" borderId="14" xfId="0" applyNumberFormat="1" applyFont="1" applyBorder="1" applyAlignment="1">
      <alignment horizontal="center" wrapText="1"/>
    </xf>
    <xf numFmtId="166" fontId="26" fillId="0" borderId="96" xfId="0" applyNumberFormat="1" applyFont="1" applyBorder="1" applyAlignment="1">
      <alignment horizontal="center" wrapText="1"/>
    </xf>
    <xf numFmtId="166" fontId="26" fillId="0" borderId="21" xfId="0" applyNumberFormat="1" applyFont="1" applyBorder="1" applyAlignment="1">
      <alignment horizontal="center" wrapText="1"/>
    </xf>
    <xf numFmtId="0" fontId="26" fillId="0" borderId="14" xfId="0" applyFont="1" applyBorder="1" applyAlignment="1">
      <alignment horizontal="center" wrapText="1"/>
    </xf>
    <xf numFmtId="0" fontId="26" fillId="0" borderId="96" xfId="0" applyFont="1" applyBorder="1" applyAlignment="1">
      <alignment horizontal="center" wrapText="1"/>
    </xf>
    <xf numFmtId="0" fontId="26" fillId="0" borderId="21" xfId="0" applyFont="1" applyBorder="1" applyAlignment="1">
      <alignment horizontal="center" wrapText="1"/>
    </xf>
    <xf numFmtId="0" fontId="9" fillId="0" borderId="48" xfId="0" applyFont="1" applyBorder="1" applyAlignment="1">
      <alignment horizontal="center" vertical="center"/>
    </xf>
    <xf numFmtId="0" fontId="9" fillId="0" borderId="27" xfId="0" applyFont="1" applyBorder="1" applyAlignment="1">
      <alignment horizontal="center" vertical="center"/>
    </xf>
    <xf numFmtId="0" fontId="9" fillId="0" borderId="49" xfId="0" applyFont="1" applyBorder="1" applyAlignment="1">
      <alignment horizontal="center" vertical="center"/>
    </xf>
    <xf numFmtId="0" fontId="9" fillId="0" borderId="67"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44" fillId="0" borderId="1" xfId="0" applyFont="1" applyBorder="1" applyAlignment="1">
      <alignment horizontal="left"/>
    </xf>
    <xf numFmtId="0" fontId="44" fillId="0" borderId="36" xfId="0" applyFont="1" applyBorder="1" applyAlignment="1">
      <alignment horizontal="left"/>
    </xf>
    <xf numFmtId="0" fontId="44" fillId="0" borderId="22" xfId="0" applyFont="1" applyBorder="1" applyAlignment="1">
      <alignment horizontal="left"/>
    </xf>
    <xf numFmtId="0" fontId="69" fillId="0" borderId="14" xfId="0" applyFont="1" applyBorder="1" applyAlignment="1">
      <alignment horizontal="center" wrapText="1"/>
    </xf>
    <xf numFmtId="0" fontId="69" fillId="0" borderId="21" xfId="0" applyFont="1" applyBorder="1" applyAlignment="1">
      <alignment horizontal="center" wrapText="1"/>
    </xf>
    <xf numFmtId="0" fontId="20" fillId="0" borderId="24" xfId="0" applyFont="1" applyBorder="1" applyAlignment="1">
      <alignment horizontal="center"/>
    </xf>
    <xf numFmtId="0" fontId="20" fillId="0" borderId="27" xfId="0" applyFont="1" applyBorder="1" applyAlignment="1">
      <alignment horizontal="center"/>
    </xf>
    <xf numFmtId="0" fontId="20" fillId="0" borderId="49" xfId="0" applyFont="1" applyBorder="1" applyAlignment="1">
      <alignment horizontal="center"/>
    </xf>
    <xf numFmtId="0" fontId="44" fillId="0" borderId="69" xfId="0" applyFont="1" applyBorder="1" applyAlignment="1">
      <alignment horizontal="left" vertical="top" wrapText="1"/>
    </xf>
    <xf numFmtId="0" fontId="44" fillId="0" borderId="66" xfId="0" applyFont="1" applyBorder="1" applyAlignment="1">
      <alignment horizontal="left" vertical="top" wrapText="1"/>
    </xf>
    <xf numFmtId="0" fontId="44" fillId="0" borderId="77" xfId="0" applyFont="1" applyBorder="1" applyAlignment="1">
      <alignment horizontal="left" vertical="top" wrapText="1"/>
    </xf>
    <xf numFmtId="0" fontId="9" fillId="0" borderId="0" xfId="0" applyFont="1" applyAlignment="1">
      <alignment horizontal="center" vertical="center"/>
    </xf>
    <xf numFmtId="0" fontId="9" fillId="0" borderId="0" xfId="0" applyFont="1" applyAlignment="1">
      <alignment horizontal="center"/>
    </xf>
    <xf numFmtId="0" fontId="9" fillId="2" borderId="0" xfId="0" applyFont="1" applyFill="1" applyAlignment="1">
      <alignment horizontal="center"/>
    </xf>
    <xf numFmtId="0" fontId="51" fillId="2" borderId="0" xfId="0" applyFont="1" applyFill="1" applyAlignment="1">
      <alignment horizontal="left" vertical="top" wrapText="1"/>
    </xf>
    <xf numFmtId="0" fontId="44" fillId="0" borderId="0" xfId="0" applyFont="1" applyAlignment="1">
      <alignment horizontal="left" wrapText="1"/>
    </xf>
    <xf numFmtId="0" fontId="51" fillId="2" borderId="0" xfId="0" applyFont="1" applyFill="1" applyAlignment="1">
      <alignment horizontal="left" wrapText="1"/>
    </xf>
    <xf numFmtId="0" fontId="44" fillId="0" borderId="0" xfId="0" applyFont="1" applyAlignment="1">
      <alignment horizontal="left" vertical="top" wrapText="1"/>
    </xf>
    <xf numFmtId="0" fontId="44" fillId="0" borderId="3" xfId="0" applyFont="1" applyBorder="1" applyAlignment="1">
      <alignment horizontal="left" wrapText="1"/>
    </xf>
    <xf numFmtId="0" fontId="44" fillId="0" borderId="20" xfId="0" applyFont="1" applyBorder="1" applyAlignment="1">
      <alignment horizontal="left" wrapText="1"/>
    </xf>
    <xf numFmtId="0" fontId="44" fillId="0" borderId="1" xfId="0" applyFont="1" applyBorder="1" applyAlignment="1">
      <alignment horizontal="left" vertical="center" wrapText="1"/>
    </xf>
    <xf numFmtId="0" fontId="44" fillId="0" borderId="36" xfId="0" applyFont="1" applyBorder="1" applyAlignment="1">
      <alignment horizontal="left" vertical="center" wrapText="1"/>
    </xf>
    <xf numFmtId="0" fontId="44" fillId="0" borderId="22" xfId="0" applyFont="1" applyBorder="1" applyAlignment="1">
      <alignment horizontal="left" vertical="center" wrapText="1"/>
    </xf>
    <xf numFmtId="0" fontId="64" fillId="0" borderId="1" xfId="0" applyFont="1" applyBorder="1" applyAlignment="1">
      <alignment horizontal="center" wrapText="1"/>
    </xf>
    <xf numFmtId="0" fontId="64" fillId="0" borderId="36" xfId="0" applyFont="1" applyBorder="1" applyAlignment="1">
      <alignment horizontal="center" wrapText="1"/>
    </xf>
    <xf numFmtId="0" fontId="64" fillId="0" borderId="2" xfId="0" applyFont="1" applyBorder="1" applyAlignment="1">
      <alignment horizontal="center" wrapText="1"/>
    </xf>
    <xf numFmtId="0" fontId="64" fillId="0" borderId="3" xfId="0" applyFont="1" applyBorder="1" applyAlignment="1">
      <alignment horizontal="center" wrapText="1"/>
    </xf>
    <xf numFmtId="0" fontId="64" fillId="0" borderId="0" xfId="0" applyFont="1" applyAlignment="1">
      <alignment horizontal="center" wrapText="1"/>
    </xf>
    <xf numFmtId="0" fontId="64" fillId="0" borderId="79" xfId="0" applyFont="1" applyBorder="1" applyAlignment="1">
      <alignment horizontal="center" wrapText="1"/>
    </xf>
    <xf numFmtId="0" fontId="64" fillId="0" borderId="69" xfId="0" applyFont="1" applyBorder="1" applyAlignment="1">
      <alignment horizontal="center" wrapText="1"/>
    </xf>
    <xf numFmtId="0" fontId="64" fillId="0" borderId="66" xfId="0" applyFont="1" applyBorder="1" applyAlignment="1">
      <alignment horizontal="center" wrapText="1"/>
    </xf>
    <xf numFmtId="0" fontId="64" fillId="0" borderId="65" xfId="0" applyFont="1" applyBorder="1" applyAlignment="1">
      <alignment horizontal="center" wrapText="1"/>
    </xf>
    <xf numFmtId="0" fontId="6" fillId="3" borderId="1" xfId="0" applyFont="1" applyFill="1" applyBorder="1" applyAlignment="1">
      <alignment horizontal="center" textRotation="90"/>
    </xf>
    <xf numFmtId="0" fontId="6" fillId="3" borderId="3" xfId="0" applyFont="1" applyFill="1" applyBorder="1" applyAlignment="1">
      <alignment horizontal="center" textRotation="90"/>
    </xf>
    <xf numFmtId="0" fontId="6" fillId="3" borderId="69" xfId="0" applyFont="1" applyFill="1" applyBorder="1" applyAlignment="1">
      <alignment horizontal="center" textRotation="90"/>
    </xf>
    <xf numFmtId="0" fontId="23" fillId="0" borderId="3" xfId="0" applyFont="1" applyBorder="1" applyAlignment="1">
      <alignment horizontal="center" vertical="center" textRotation="90" wrapText="1"/>
    </xf>
    <xf numFmtId="0" fontId="23" fillId="0" borderId="6" xfId="0" applyFont="1" applyBorder="1" applyAlignment="1">
      <alignment horizontal="center" vertical="center" textRotation="90" wrapText="1"/>
    </xf>
    <xf numFmtId="0" fontId="23" fillId="0" borderId="69" xfId="0" applyFont="1" applyBorder="1" applyAlignment="1">
      <alignment horizontal="center" vertical="center" textRotation="90" wrapText="1"/>
    </xf>
    <xf numFmtId="0" fontId="6" fillId="0" borderId="25" xfId="0" applyFont="1" applyBorder="1" applyAlignment="1">
      <alignment horizontal="left" wrapText="1"/>
    </xf>
    <xf numFmtId="0" fontId="6" fillId="0" borderId="82" xfId="0" applyFont="1" applyBorder="1" applyAlignment="1">
      <alignment horizontal="left" wrapText="1"/>
    </xf>
    <xf numFmtId="0" fontId="23" fillId="0" borderId="25" xfId="0" applyFont="1" applyBorder="1" applyAlignment="1">
      <alignment horizontal="left" wrapText="1"/>
    </xf>
    <xf numFmtId="0" fontId="23" fillId="0" borderId="82" xfId="0" applyFont="1" applyBorder="1" applyAlignment="1">
      <alignment horizontal="left" wrapText="1"/>
    </xf>
    <xf numFmtId="0" fontId="23" fillId="0" borderId="43" xfId="0" applyFont="1" applyBorder="1" applyAlignment="1">
      <alignment horizontal="center" vertical="center" textRotation="90" wrapText="1"/>
    </xf>
    <xf numFmtId="0" fontId="23" fillId="0" borderId="1" xfId="0" applyFont="1" applyBorder="1" applyAlignment="1">
      <alignment horizontal="center" vertical="center" textRotation="90" wrapText="1"/>
    </xf>
  </cellXfs>
  <cellStyles count="3">
    <cellStyle name="Comma" xfId="1" builtinId="3"/>
    <cellStyle name="Normal" xfId="0" builtinId="0"/>
    <cellStyle name="Normal 2" xfId="2" xr:uid="{07BEF043-65DA-43CB-A62B-0180BF5A97A9}"/>
  </cellStyles>
  <dxfs count="9">
    <dxf>
      <fill>
        <patternFill>
          <bgColor rgb="FFC0CCBC"/>
        </patternFill>
      </fill>
    </dxf>
    <dxf>
      <fill>
        <patternFill>
          <bgColor rgb="FFC0CCBC"/>
        </patternFill>
      </fill>
    </dxf>
    <dxf>
      <fill>
        <patternFill>
          <bgColor theme="0" tint="-0.14996795556505021"/>
        </patternFill>
      </fill>
    </dxf>
    <dxf>
      <fill>
        <patternFill>
          <bgColor rgb="FFC0CCBC"/>
        </patternFill>
      </fill>
    </dxf>
    <dxf>
      <fill>
        <patternFill>
          <bgColor theme="0" tint="-0.14996795556505021"/>
        </patternFill>
      </fill>
    </dxf>
    <dxf>
      <fill>
        <patternFill>
          <bgColor rgb="FFC0CCBC"/>
        </patternFill>
      </fill>
    </dxf>
    <dxf>
      <alignment horizontal="right" vertical="bottom" textRotation="0" wrapText="0" indent="0" justifyLastLine="0" shrinkToFit="0" readingOrder="0"/>
    </dxf>
    <dxf>
      <border outline="0">
        <top style="thin">
          <color theme="9" tint="0.39997558519241921"/>
        </top>
      </border>
    </dxf>
    <dxf>
      <font>
        <b/>
        <i val="0"/>
        <strike val="0"/>
        <condense val="0"/>
        <extend val="0"/>
        <outline val="0"/>
        <shadow val="0"/>
        <u val="none"/>
        <vertAlign val="baseline"/>
        <sz val="14"/>
        <color theme="0"/>
        <name val="Calibri"/>
        <family val="2"/>
        <scheme val="minor"/>
      </font>
      <fill>
        <patternFill patternType="solid">
          <fgColor theme="4"/>
          <bgColor theme="4"/>
        </patternFill>
      </fill>
    </dxf>
  </dxfs>
  <tableStyles count="0" defaultTableStyle="TableStyleMedium2" defaultPivotStyle="PivotStyleLight16"/>
  <colors>
    <mruColors>
      <color rgb="FFB4C0B0"/>
      <color rgb="FFD5E8CA"/>
      <color rgb="FFC0CCBC"/>
      <color rgb="FF99FFCC"/>
      <color rgb="FFFFFFFF"/>
      <color rgb="FFE0E1DF"/>
      <color rgb="FFE4E9E3"/>
      <color rgb="FFF4F6F4"/>
      <color rgb="FFD6DED4"/>
      <color rgb="FFE0EE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a-DK"/>
              <a:t>Overordnet</a:t>
            </a:r>
            <a:r>
              <a:rPr lang="da-DK" baseline="0"/>
              <a:t> klimaaftryk for drikkevand [kg CO2e/år]</a:t>
            </a:r>
            <a:endParaRPr lang="da-DK"/>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manualLayout>
          <c:layoutTarget val="inner"/>
          <c:xMode val="edge"/>
          <c:yMode val="edge"/>
          <c:x val="0.3292614981141998"/>
          <c:y val="0.10820115123784829"/>
          <c:w val="0.64709035335095466"/>
          <c:h val="0.58584747878727461"/>
        </c:manualLayout>
      </c:layout>
      <c:barChart>
        <c:barDir val="col"/>
        <c:grouping val="stacked"/>
        <c:varyColors val="0"/>
        <c:ser>
          <c:idx val="3"/>
          <c:order val="0"/>
          <c:tx>
            <c:v>Fjernede emissioner</c:v>
          </c:tx>
          <c:spPr>
            <a:solidFill>
              <a:schemeClr val="accent4"/>
            </a:solid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drikkevand'!$K$38:$N$38</c:f>
              <c:numCache>
                <c:formatCode>0</c:formatCode>
                <c:ptCount val="4"/>
                <c:pt idx="0">
                  <c:v>0</c:v>
                </c:pt>
                <c:pt idx="1">
                  <c:v>0</c:v>
                </c:pt>
                <c:pt idx="2">
                  <c:v>0</c:v>
                </c:pt>
                <c:pt idx="3">
                  <c:v>0</c:v>
                </c:pt>
              </c:numCache>
            </c:numRef>
          </c:val>
          <c:extLst>
            <c:ext xmlns:c16="http://schemas.microsoft.com/office/drawing/2014/chart" uri="{C3380CC4-5D6E-409C-BE32-E72D297353CC}">
              <c16:uniqueId val="{00000003-5A39-40B4-B00A-62DA54210F38}"/>
            </c:ext>
          </c:extLst>
        </c:ser>
        <c:ser>
          <c:idx val="4"/>
          <c:order val="1"/>
          <c:tx>
            <c:v>Undgåede emissioner</c:v>
          </c:tx>
          <c:spPr>
            <a:solidFill>
              <a:schemeClr val="accent3"/>
            </a:solid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drikkevand'!$K$42:$N$42</c:f>
              <c:numCache>
                <c:formatCode>0</c:formatCode>
                <c:ptCount val="4"/>
                <c:pt idx="0">
                  <c:v>0</c:v>
                </c:pt>
                <c:pt idx="1">
                  <c:v>0</c:v>
                </c:pt>
                <c:pt idx="2">
                  <c:v>0</c:v>
                </c:pt>
                <c:pt idx="3">
                  <c:v>0</c:v>
                </c:pt>
              </c:numCache>
            </c:numRef>
          </c:val>
          <c:extLst>
            <c:ext xmlns:c16="http://schemas.microsoft.com/office/drawing/2014/chart" uri="{C3380CC4-5D6E-409C-BE32-E72D297353CC}">
              <c16:uniqueId val="{00000000-39DB-4EFB-822F-5A32CB9CB674}"/>
            </c:ext>
          </c:extLst>
        </c:ser>
        <c:ser>
          <c:idx val="5"/>
          <c:order val="2"/>
          <c:tx>
            <c:strRef>
              <c:f>'Resultat drikkevand'!$J$51</c:f>
              <c:strCache>
                <c:ptCount val="1"/>
                <c:pt idx="0">
                  <c:v>Undgåede emissioner: eksterne varmepumper</c:v>
                </c:pt>
              </c:strCache>
            </c:strRef>
          </c:tx>
          <c:spPr>
            <a:pattFill prst="dkUpDiag">
              <a:fgClr>
                <a:schemeClr val="accent3"/>
              </a:fgClr>
              <a:bgClr>
                <a:schemeClr val="bg1"/>
              </a:bgClr>
            </a:patt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drikkevand'!$K$51:$N$51</c:f>
              <c:numCache>
                <c:formatCode>0</c:formatCode>
                <c:ptCount val="4"/>
                <c:pt idx="0">
                  <c:v>0</c:v>
                </c:pt>
                <c:pt idx="1">
                  <c:v>0</c:v>
                </c:pt>
                <c:pt idx="2">
                  <c:v>0</c:v>
                </c:pt>
                <c:pt idx="3">
                  <c:v>0</c:v>
                </c:pt>
              </c:numCache>
            </c:numRef>
          </c:val>
          <c:extLst>
            <c:ext xmlns:c16="http://schemas.microsoft.com/office/drawing/2014/chart" uri="{C3380CC4-5D6E-409C-BE32-E72D297353CC}">
              <c16:uniqueId val="{00000001-39DB-4EFB-822F-5A32CB9CB674}"/>
            </c:ext>
          </c:extLst>
        </c:ser>
        <c:ser>
          <c:idx val="2"/>
          <c:order val="3"/>
          <c:tx>
            <c:v>Scope 3</c:v>
          </c:tx>
          <c:spPr>
            <a:solidFill>
              <a:schemeClr val="accent6"/>
            </a:solid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drikkevand'!$K$31:$N$31</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2-5A39-40B4-B00A-62DA54210F38}"/>
            </c:ext>
          </c:extLst>
        </c:ser>
        <c:ser>
          <c:idx val="1"/>
          <c:order val="4"/>
          <c:tx>
            <c:v>Scope 2</c:v>
          </c:tx>
          <c:spPr>
            <a:solidFill>
              <a:schemeClr val="accent2"/>
            </a:solid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drikkevand'!$K$28:$N$28</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1-5A39-40B4-B00A-62DA54210F38}"/>
            </c:ext>
          </c:extLst>
        </c:ser>
        <c:ser>
          <c:idx val="0"/>
          <c:order val="5"/>
          <c:tx>
            <c:v>Scope 1</c:v>
          </c:tx>
          <c:spPr>
            <a:solidFill>
              <a:schemeClr val="accent1"/>
            </a:solidFill>
            <a:ln>
              <a:noFill/>
            </a:ln>
            <a:effectLst/>
          </c:spPr>
          <c:invertIfNegative val="0"/>
          <c:cat>
            <c:numRef>
              <c:f>'Resultat drikkevand'!$D$23:$G$23</c:f>
              <c:numCache>
                <c:formatCode>General</c:formatCode>
                <c:ptCount val="4"/>
                <c:pt idx="0">
                  <c:v>2023</c:v>
                </c:pt>
                <c:pt idx="1">
                  <c:v>2025</c:v>
                </c:pt>
                <c:pt idx="2">
                  <c:v>2030</c:v>
                </c:pt>
                <c:pt idx="3">
                  <c:v>2035</c:v>
                </c:pt>
              </c:numCache>
            </c:numRef>
          </c:cat>
          <c:val>
            <c:numRef>
              <c:f>'Resultat drikkevand'!$K$24:$N$24</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0-5A39-40B4-B00A-62DA54210F38}"/>
            </c:ext>
          </c:extLst>
        </c:ser>
        <c:dLbls>
          <c:showLegendKey val="0"/>
          <c:showVal val="0"/>
          <c:showCatName val="0"/>
          <c:showSerName val="0"/>
          <c:showPercent val="0"/>
          <c:showBubbleSize val="0"/>
        </c:dLbls>
        <c:gapWidth val="150"/>
        <c:overlap val="100"/>
        <c:axId val="1546676624"/>
        <c:axId val="1546679504"/>
      </c:bar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Klimaaftryk for drikkevand indenfor</a:t>
            </a:r>
            <a:r>
              <a:rPr lang="en-US" b="1" baseline="0"/>
              <a:t> scope fordelt på emissionsposter for </a:t>
            </a:r>
            <a:r>
              <a:rPr lang="en-US" b="1"/>
              <a:t>2023</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manualLayout>
          <c:layoutTarget val="inner"/>
          <c:xMode val="edge"/>
          <c:yMode val="edge"/>
          <c:x val="0.18773354009416338"/>
          <c:y val="0.25696659903247715"/>
          <c:w val="0.59121754779797209"/>
          <c:h val="0.70517171844927795"/>
        </c:manualLayout>
      </c:layout>
      <c:pieChart>
        <c:varyColors val="1"/>
        <c:ser>
          <c:idx val="0"/>
          <c:order val="0"/>
          <c:tx>
            <c:v>Scope 1, 2, 3</c:v>
          </c:tx>
          <c:dPt>
            <c:idx val="0"/>
            <c:bubble3D val="0"/>
            <c:spPr>
              <a:solidFill>
                <a:schemeClr val="accent1">
                  <a:lumMod val="60000"/>
                  <a:lumOff val="40000"/>
                </a:schemeClr>
              </a:solidFill>
              <a:ln w="19050">
                <a:solidFill>
                  <a:schemeClr val="lt1"/>
                </a:solidFill>
              </a:ln>
              <a:effectLst/>
            </c:spPr>
            <c:extLst>
              <c:ext xmlns:c16="http://schemas.microsoft.com/office/drawing/2014/chart" uri="{C3380CC4-5D6E-409C-BE32-E72D297353CC}">
                <c16:uniqueId val="{00000001-E864-42AE-997B-2A47F0D8D566}"/>
              </c:ext>
            </c:extLst>
          </c:dPt>
          <c:dPt>
            <c:idx val="1"/>
            <c:bubble3D val="0"/>
            <c:spPr>
              <a:solidFill>
                <a:schemeClr val="accent1">
                  <a:lumMod val="75000"/>
                </a:schemeClr>
              </a:solidFill>
              <a:ln w="19050">
                <a:solidFill>
                  <a:schemeClr val="lt1"/>
                </a:solidFill>
              </a:ln>
              <a:effectLst/>
            </c:spPr>
            <c:extLst>
              <c:ext xmlns:c16="http://schemas.microsoft.com/office/drawing/2014/chart" uri="{C3380CC4-5D6E-409C-BE32-E72D297353CC}">
                <c16:uniqueId val="{00000003-E864-42AE-997B-2A47F0D8D566}"/>
              </c:ext>
            </c:extLst>
          </c:dPt>
          <c:dPt>
            <c:idx val="2"/>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5-E864-42AE-997B-2A47F0D8D566}"/>
              </c:ext>
            </c:extLst>
          </c:dPt>
          <c:dPt>
            <c:idx val="3"/>
            <c:bubble3D val="0"/>
            <c:spPr>
              <a:solidFill>
                <a:schemeClr val="accent2">
                  <a:lumMod val="75000"/>
                </a:schemeClr>
              </a:solidFill>
              <a:ln w="19050">
                <a:solidFill>
                  <a:schemeClr val="lt1"/>
                </a:solidFill>
              </a:ln>
              <a:effectLst/>
            </c:spPr>
            <c:extLst>
              <c:ext xmlns:c16="http://schemas.microsoft.com/office/drawing/2014/chart" uri="{C3380CC4-5D6E-409C-BE32-E72D297353CC}">
                <c16:uniqueId val="{00000007-E864-42AE-997B-2A47F0D8D566}"/>
              </c:ext>
            </c:extLst>
          </c:dPt>
          <c:dPt>
            <c:idx val="4"/>
            <c:bubble3D val="0"/>
            <c:spPr>
              <a:solidFill>
                <a:schemeClr val="accent2">
                  <a:lumMod val="50000"/>
                </a:schemeClr>
              </a:solidFill>
              <a:ln w="19050">
                <a:solidFill>
                  <a:schemeClr val="lt1"/>
                </a:solidFill>
              </a:ln>
              <a:effectLst/>
            </c:spPr>
            <c:extLst>
              <c:ext xmlns:c16="http://schemas.microsoft.com/office/drawing/2014/chart" uri="{C3380CC4-5D6E-409C-BE32-E72D297353CC}">
                <c16:uniqueId val="{00000009-E864-42AE-997B-2A47F0D8D566}"/>
              </c:ext>
            </c:extLst>
          </c:dPt>
          <c:dPt>
            <c:idx val="5"/>
            <c:bubble3D val="0"/>
            <c:spPr>
              <a:solidFill>
                <a:schemeClr val="accent6">
                  <a:lumMod val="20000"/>
                  <a:lumOff val="80000"/>
                </a:schemeClr>
              </a:solidFill>
              <a:ln w="19050">
                <a:solidFill>
                  <a:schemeClr val="lt1"/>
                </a:solidFill>
              </a:ln>
              <a:effectLst/>
            </c:spPr>
            <c:extLst>
              <c:ext xmlns:c16="http://schemas.microsoft.com/office/drawing/2014/chart" uri="{C3380CC4-5D6E-409C-BE32-E72D297353CC}">
                <c16:uniqueId val="{0000000B-E864-42AE-997B-2A47F0D8D566}"/>
              </c:ext>
            </c:extLst>
          </c:dPt>
          <c:dPt>
            <c:idx val="6"/>
            <c:bubble3D val="0"/>
            <c:spPr>
              <a:solidFill>
                <a:schemeClr val="accent6">
                  <a:lumMod val="40000"/>
                  <a:lumOff val="60000"/>
                </a:schemeClr>
              </a:solidFill>
              <a:ln w="19050">
                <a:solidFill>
                  <a:schemeClr val="lt1"/>
                </a:solidFill>
              </a:ln>
              <a:effectLst/>
            </c:spPr>
            <c:extLst>
              <c:ext xmlns:c16="http://schemas.microsoft.com/office/drawing/2014/chart" uri="{C3380CC4-5D6E-409C-BE32-E72D297353CC}">
                <c16:uniqueId val="{0000000D-E864-42AE-997B-2A47F0D8D566}"/>
              </c:ext>
            </c:extLst>
          </c:dPt>
          <c:dPt>
            <c:idx val="7"/>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0F-E864-42AE-997B-2A47F0D8D566}"/>
              </c:ext>
            </c:extLst>
          </c:dPt>
          <c:dPt>
            <c:idx val="8"/>
            <c:bubble3D val="0"/>
            <c:spPr>
              <a:solidFill>
                <a:schemeClr val="accent6">
                  <a:lumMod val="75000"/>
                </a:schemeClr>
              </a:solidFill>
              <a:ln w="19050">
                <a:solidFill>
                  <a:schemeClr val="lt1"/>
                </a:solidFill>
              </a:ln>
              <a:effectLst/>
            </c:spPr>
            <c:extLst>
              <c:ext xmlns:c16="http://schemas.microsoft.com/office/drawing/2014/chart" uri="{C3380CC4-5D6E-409C-BE32-E72D297353CC}">
                <c16:uniqueId val="{00000011-E864-42AE-997B-2A47F0D8D566}"/>
              </c:ext>
            </c:extLst>
          </c:dPt>
          <c:dPt>
            <c:idx val="9"/>
            <c:bubble3D val="0"/>
            <c:spPr>
              <a:solidFill>
                <a:schemeClr val="accent6">
                  <a:lumMod val="50000"/>
                </a:schemeClr>
              </a:solidFill>
              <a:ln w="19050">
                <a:solidFill>
                  <a:schemeClr val="lt1"/>
                </a:solidFill>
              </a:ln>
              <a:effectLst/>
            </c:spPr>
            <c:extLst>
              <c:ext xmlns:c16="http://schemas.microsoft.com/office/drawing/2014/chart" uri="{C3380CC4-5D6E-409C-BE32-E72D297353CC}">
                <c16:uniqueId val="{00000013-E864-42AE-997B-2A47F0D8D566}"/>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a-DK"/>
              </a:p>
            </c:txPr>
            <c:dLblPos val="bestFit"/>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('Resultat drikkevand'!$J$25:$J$27,'Resultat drikkevand'!$J$29:$J$30,'Resultat drikkevand'!$J$32:$J$36)</c:f>
              <c:strCache>
                <c:ptCount val="10"/>
                <c:pt idx="0">
                  <c:v>Købte brændsler</c:v>
                </c:pt>
                <c:pt idx="1">
                  <c:v>CH4 fra vandværk</c:v>
                </c:pt>
                <c:pt idx="2">
                  <c:v>Driftsbiler</c:v>
                </c:pt>
                <c:pt idx="3">
                  <c:v>Købt el</c:v>
                </c:pt>
                <c:pt idx="4">
                  <c:v>Købt fjernvarme</c:v>
                </c:pt>
                <c:pt idx="5">
                  <c:v>Kemikalier og forbrugsstoffer</c:v>
                </c:pt>
                <c:pt idx="6">
                  <c:v>Opstrøms emissioner fra fremstilling af brændsler til opvarmning</c:v>
                </c:pt>
                <c:pt idx="7">
                  <c:v>Opstrøms emissioner fra fremstilling af brændsler til driftsbiler</c:v>
                </c:pt>
                <c:pt idx="8">
                  <c:v>Opstrøms emissioner fra fremstilling af brændsler og energitab: el</c:v>
                </c:pt>
                <c:pt idx="9">
                  <c:v>Opstrøms emissioner fra fremstilling af brændsler og energitab: fjernvarme</c:v>
                </c:pt>
              </c:strCache>
            </c:strRef>
          </c:cat>
          <c:val>
            <c:numRef>
              <c:f>('Resultat drikkevand'!$K$25:$K$27,'Resultat drikkevand'!$K$29:$K$30,'Resultat drikkevand'!$K$32:$K$36)</c:f>
              <c:numCache>
                <c:formatCode>_-* #,##0_-;\-* #,##0_-;_-* "-"??_-;_-@_-</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56C0-422D-BAF7-8109FE517754}"/>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251873999625909"/>
          <c:y val="0.12337252627847477"/>
          <c:w val="0.33130330418824344"/>
          <c:h val="0.826932450448506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a-DK"/>
              <a:t>Egenforsyningsgrad for drikkevand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lineChart>
        <c:grouping val="standard"/>
        <c:varyColors val="0"/>
        <c:ser>
          <c:idx val="1"/>
          <c:order val="0"/>
          <c:tx>
            <c:strRef>
              <c:f>'Resultat drikkevand'!$C$47</c:f>
              <c:strCache>
                <c:ptCount val="1"/>
                <c:pt idx="0">
                  <c:v>Egenforsyningsgrad (med ekstern varmepumpe) [%]</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'Resultat drikkevand'!$D$41:$G$41</c:f>
              <c:numCache>
                <c:formatCode>General</c:formatCode>
                <c:ptCount val="4"/>
                <c:pt idx="0">
                  <c:v>2023</c:v>
                </c:pt>
                <c:pt idx="1">
                  <c:v>2025</c:v>
                </c:pt>
                <c:pt idx="2">
                  <c:v>2030</c:v>
                </c:pt>
                <c:pt idx="3">
                  <c:v>2035</c:v>
                </c:pt>
              </c:numCache>
            </c:numRef>
          </c:cat>
          <c:val>
            <c:numRef>
              <c:f>'Resultat drikkevand'!$D$47:$G$47</c:f>
              <c:numCache>
                <c:formatCode>0.0</c:formatCode>
                <c:ptCount val="4"/>
                <c:pt idx="0">
                  <c:v>0</c:v>
                </c:pt>
                <c:pt idx="1">
                  <c:v>0</c:v>
                </c:pt>
                <c:pt idx="2">
                  <c:v>0</c:v>
                </c:pt>
                <c:pt idx="3">
                  <c:v>0</c:v>
                </c:pt>
              </c:numCache>
            </c:numRef>
          </c:val>
          <c:smooth val="0"/>
          <c:extLst>
            <c:ext xmlns:c16="http://schemas.microsoft.com/office/drawing/2014/chart" uri="{C3380CC4-5D6E-409C-BE32-E72D297353CC}">
              <c16:uniqueId val="{0000000B-1C7B-42E5-AB90-34A602A21EA4}"/>
            </c:ext>
          </c:extLst>
        </c:ser>
        <c:ser>
          <c:idx val="0"/>
          <c:order val="1"/>
          <c:tx>
            <c:strRef>
              <c:f>'Resultat drikkevand'!$C$46</c:f>
              <c:strCache>
                <c:ptCount val="1"/>
                <c:pt idx="0">
                  <c:v>Egenforsyningsgrad (uden ekstern varmepumpe) [%]</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'Resultat drikkevand'!$D$41:$G$41</c:f>
              <c:numCache>
                <c:formatCode>General</c:formatCode>
                <c:ptCount val="4"/>
                <c:pt idx="0">
                  <c:v>2023</c:v>
                </c:pt>
                <c:pt idx="1">
                  <c:v>2025</c:v>
                </c:pt>
                <c:pt idx="2">
                  <c:v>2030</c:v>
                </c:pt>
                <c:pt idx="3">
                  <c:v>2035</c:v>
                </c:pt>
              </c:numCache>
            </c:numRef>
          </c:cat>
          <c:val>
            <c:numRef>
              <c:f>'Resultat drikkevand'!$D$46:$G$46</c:f>
              <c:numCache>
                <c:formatCode>0.0</c:formatCode>
                <c:ptCount val="4"/>
                <c:pt idx="0">
                  <c:v>0</c:v>
                </c:pt>
                <c:pt idx="1">
                  <c:v>0</c:v>
                </c:pt>
                <c:pt idx="2">
                  <c:v>0</c:v>
                </c:pt>
                <c:pt idx="3">
                  <c:v>0</c:v>
                </c:pt>
              </c:numCache>
            </c:numRef>
          </c:val>
          <c:smooth val="0"/>
          <c:extLst>
            <c:ext xmlns:c16="http://schemas.microsoft.com/office/drawing/2014/chart" uri="{C3380CC4-5D6E-409C-BE32-E72D297353CC}">
              <c16:uniqueId val="{0000000A-1C7B-42E5-AB90-34A602A21EA4}"/>
            </c:ext>
          </c:extLst>
        </c:ser>
        <c:dLbls>
          <c:showLegendKey val="0"/>
          <c:showVal val="0"/>
          <c:showCatName val="0"/>
          <c:showSerName val="0"/>
          <c:showPercent val="0"/>
          <c:showBubbleSize val="0"/>
        </c:dLbls>
        <c:marker val="1"/>
        <c:smooth val="0"/>
        <c:axId val="1546676624"/>
        <c:axId val="1546679504"/>
      </c:line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r>
              <a:rPr lang="da-DK" sz="1400" b="0" i="0" u="none" strike="noStrike" kern="1200" spc="0" baseline="0">
                <a:solidFill>
                  <a:sysClr val="windowText" lastClr="000000">
                    <a:lumMod val="65000"/>
                    <a:lumOff val="35000"/>
                  </a:sysClr>
                </a:solidFill>
              </a:rPr>
              <a:t>Overordnet klimaaftryk for afløb/transport [kg CO2e/år]</a:t>
            </a: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endParaRPr lang="da-DK"/>
        </a:p>
      </c:txPr>
    </c:title>
    <c:autoTitleDeleted val="0"/>
    <c:plotArea>
      <c:layout>
        <c:manualLayout>
          <c:layoutTarget val="inner"/>
          <c:xMode val="edge"/>
          <c:yMode val="edge"/>
          <c:x val="0.18834579473278323"/>
          <c:y val="9.9736964272301137E-2"/>
          <c:w val="0.79407572161928686"/>
          <c:h val="0.62029525881029568"/>
        </c:manualLayout>
      </c:layout>
      <c:barChart>
        <c:barDir val="col"/>
        <c:grouping val="stacked"/>
        <c:varyColors val="0"/>
        <c:ser>
          <c:idx val="0"/>
          <c:order val="0"/>
          <c:tx>
            <c:strRef>
              <c:f>'Resultat afløb'!$J$39</c:f>
              <c:strCache>
                <c:ptCount val="1"/>
                <c:pt idx="0">
                  <c:v>Undgåede emissioner</c:v>
                </c:pt>
              </c:strCache>
            </c:strRef>
          </c:tx>
          <c:spPr>
            <a:solidFill>
              <a:schemeClr val="accent3"/>
            </a:solidFill>
            <a:ln>
              <a:noFill/>
            </a:ln>
            <a:effectLst/>
          </c:spPr>
          <c:invertIfNegative val="0"/>
          <c:cat>
            <c:numRef>
              <c:f>'Resultat afløb'!$K$23:$N$23</c:f>
              <c:numCache>
                <c:formatCode>General</c:formatCode>
                <c:ptCount val="4"/>
                <c:pt idx="0">
                  <c:v>2023</c:v>
                </c:pt>
                <c:pt idx="1">
                  <c:v>2025</c:v>
                </c:pt>
                <c:pt idx="2">
                  <c:v>2030</c:v>
                </c:pt>
                <c:pt idx="3">
                  <c:v>2035</c:v>
                </c:pt>
              </c:numCache>
            </c:numRef>
          </c:cat>
          <c:val>
            <c:numRef>
              <c:f>'Resultat afløb'!$K$39:$N$39</c:f>
              <c:numCache>
                <c:formatCode>0</c:formatCode>
                <c:ptCount val="4"/>
                <c:pt idx="0">
                  <c:v>0</c:v>
                </c:pt>
                <c:pt idx="1">
                  <c:v>0</c:v>
                </c:pt>
                <c:pt idx="2">
                  <c:v>0</c:v>
                </c:pt>
                <c:pt idx="3">
                  <c:v>0</c:v>
                </c:pt>
              </c:numCache>
            </c:numRef>
          </c:val>
          <c:extLst>
            <c:ext xmlns:c16="http://schemas.microsoft.com/office/drawing/2014/chart" uri="{C3380CC4-5D6E-409C-BE32-E72D297353CC}">
              <c16:uniqueId val="{00000006-B676-4422-90C1-71720A10EFD9}"/>
            </c:ext>
          </c:extLst>
        </c:ser>
        <c:ser>
          <c:idx val="1"/>
          <c:order val="1"/>
          <c:tx>
            <c:strRef>
              <c:f>'Resultat afløb'!$J$37</c:f>
              <c:strCache>
                <c:ptCount val="1"/>
                <c:pt idx="0">
                  <c:v>Fjernede emissioner</c:v>
                </c:pt>
              </c:strCache>
            </c:strRef>
          </c:tx>
          <c:spPr>
            <a:solidFill>
              <a:schemeClr val="accent4"/>
            </a:solidFill>
            <a:ln>
              <a:noFill/>
            </a:ln>
            <a:effectLst/>
          </c:spPr>
          <c:invertIfNegative val="0"/>
          <c:cat>
            <c:numRef>
              <c:f>'Resultat afløb'!$K$23:$N$23</c:f>
              <c:numCache>
                <c:formatCode>General</c:formatCode>
                <c:ptCount val="4"/>
                <c:pt idx="0">
                  <c:v>2023</c:v>
                </c:pt>
                <c:pt idx="1">
                  <c:v>2025</c:v>
                </c:pt>
                <c:pt idx="2">
                  <c:v>2030</c:v>
                </c:pt>
                <c:pt idx="3">
                  <c:v>2035</c:v>
                </c:pt>
              </c:numCache>
            </c:numRef>
          </c:cat>
          <c:val>
            <c:numRef>
              <c:f>'Resultat afløb'!$K$37:$N$37</c:f>
              <c:numCache>
                <c:formatCode>0</c:formatCode>
                <c:ptCount val="4"/>
                <c:pt idx="0">
                  <c:v>0</c:v>
                </c:pt>
                <c:pt idx="1">
                  <c:v>0</c:v>
                </c:pt>
                <c:pt idx="2">
                  <c:v>0</c:v>
                </c:pt>
                <c:pt idx="3">
                  <c:v>0</c:v>
                </c:pt>
              </c:numCache>
            </c:numRef>
          </c:val>
          <c:extLst>
            <c:ext xmlns:c16="http://schemas.microsoft.com/office/drawing/2014/chart" uri="{C3380CC4-5D6E-409C-BE32-E72D297353CC}">
              <c16:uniqueId val="{00000007-B676-4422-90C1-71720A10EFD9}"/>
            </c:ext>
          </c:extLst>
        </c:ser>
        <c:ser>
          <c:idx val="2"/>
          <c:order val="2"/>
          <c:tx>
            <c:strRef>
              <c:f>'Resultat afløb'!$J$30</c:f>
              <c:strCache>
                <c:ptCount val="1"/>
                <c:pt idx="0">
                  <c:v>Scope 3 total </c:v>
                </c:pt>
              </c:strCache>
            </c:strRef>
          </c:tx>
          <c:spPr>
            <a:solidFill>
              <a:schemeClr val="accent6"/>
            </a:solidFill>
            <a:ln>
              <a:noFill/>
            </a:ln>
            <a:effectLst/>
          </c:spPr>
          <c:invertIfNegative val="0"/>
          <c:cat>
            <c:numRef>
              <c:f>'Resultat afløb'!$K$23:$N$23</c:f>
              <c:numCache>
                <c:formatCode>General</c:formatCode>
                <c:ptCount val="4"/>
                <c:pt idx="0">
                  <c:v>2023</c:v>
                </c:pt>
                <c:pt idx="1">
                  <c:v>2025</c:v>
                </c:pt>
                <c:pt idx="2">
                  <c:v>2030</c:v>
                </c:pt>
                <c:pt idx="3">
                  <c:v>2035</c:v>
                </c:pt>
              </c:numCache>
            </c:numRef>
          </c:cat>
          <c:val>
            <c:numRef>
              <c:f>'Resultat afløb'!$K$30:$N$30</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8-B676-4422-90C1-71720A10EFD9}"/>
            </c:ext>
          </c:extLst>
        </c:ser>
        <c:ser>
          <c:idx val="3"/>
          <c:order val="3"/>
          <c:tx>
            <c:strRef>
              <c:f>'Resultat afløb'!$J$27</c:f>
              <c:strCache>
                <c:ptCount val="1"/>
                <c:pt idx="0">
                  <c:v>Scope 2 total </c:v>
                </c:pt>
              </c:strCache>
            </c:strRef>
          </c:tx>
          <c:spPr>
            <a:solidFill>
              <a:schemeClr val="accent2"/>
            </a:solidFill>
            <a:ln>
              <a:noFill/>
            </a:ln>
            <a:effectLst/>
          </c:spPr>
          <c:invertIfNegative val="0"/>
          <c:cat>
            <c:numRef>
              <c:f>'Resultat afløb'!$K$23:$N$23</c:f>
              <c:numCache>
                <c:formatCode>General</c:formatCode>
                <c:ptCount val="4"/>
                <c:pt idx="0">
                  <c:v>2023</c:v>
                </c:pt>
                <c:pt idx="1">
                  <c:v>2025</c:v>
                </c:pt>
                <c:pt idx="2">
                  <c:v>2030</c:v>
                </c:pt>
                <c:pt idx="3">
                  <c:v>2035</c:v>
                </c:pt>
              </c:numCache>
            </c:numRef>
          </c:cat>
          <c:val>
            <c:numRef>
              <c:f>'Resultat afløb'!$K$27:$N$27</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9-B676-4422-90C1-71720A10EFD9}"/>
            </c:ext>
          </c:extLst>
        </c:ser>
        <c:ser>
          <c:idx val="4"/>
          <c:order val="4"/>
          <c:tx>
            <c:strRef>
              <c:f>'Resultat afløb'!$J$24</c:f>
              <c:strCache>
                <c:ptCount val="1"/>
                <c:pt idx="0">
                  <c:v>Scope 1 total</c:v>
                </c:pt>
              </c:strCache>
            </c:strRef>
          </c:tx>
          <c:spPr>
            <a:solidFill>
              <a:schemeClr val="accent5"/>
            </a:solidFill>
            <a:ln>
              <a:noFill/>
            </a:ln>
            <a:effectLst/>
          </c:spPr>
          <c:invertIfNegative val="0"/>
          <c:cat>
            <c:numRef>
              <c:f>'Resultat afløb'!$K$23:$N$23</c:f>
              <c:numCache>
                <c:formatCode>General</c:formatCode>
                <c:ptCount val="4"/>
                <c:pt idx="0">
                  <c:v>2023</c:v>
                </c:pt>
                <c:pt idx="1">
                  <c:v>2025</c:v>
                </c:pt>
                <c:pt idx="2">
                  <c:v>2030</c:v>
                </c:pt>
                <c:pt idx="3">
                  <c:v>2035</c:v>
                </c:pt>
              </c:numCache>
            </c:numRef>
          </c:cat>
          <c:val>
            <c:numRef>
              <c:f>'Resultat afløb'!$K$24:$N$24</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A-B676-4422-90C1-71720A10EFD9}"/>
            </c:ext>
          </c:extLst>
        </c:ser>
        <c:dLbls>
          <c:showLegendKey val="0"/>
          <c:showVal val="0"/>
          <c:showCatName val="0"/>
          <c:showSerName val="0"/>
          <c:showPercent val="0"/>
          <c:showBubbleSize val="0"/>
        </c:dLbls>
        <c:gapWidth val="150"/>
        <c:overlap val="100"/>
        <c:axId val="1546676624"/>
        <c:axId val="1546679504"/>
      </c:bar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sz="1400" b="1" i="0" u="none" strike="noStrike" kern="1200" spc="0" baseline="0">
                <a:solidFill>
                  <a:sysClr val="windowText" lastClr="000000">
                    <a:lumMod val="65000"/>
                    <a:lumOff val="35000"/>
                  </a:sysClr>
                </a:solidFill>
              </a:rPr>
              <a:t>Klimaaftryk for afløb/transport indenfor scope fordelt på emissionsposter for 2023</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manualLayout>
          <c:layoutTarget val="inner"/>
          <c:xMode val="edge"/>
          <c:yMode val="edge"/>
          <c:x val="8.4669316786590412E-2"/>
          <c:y val="0.14425399645921549"/>
          <c:w val="0.49939726602002832"/>
          <c:h val="0.7686450213158813"/>
        </c:manualLayout>
      </c:layout>
      <c:pieChart>
        <c:varyColors val="1"/>
        <c:ser>
          <c:idx val="0"/>
          <c:order val="0"/>
          <c:tx>
            <c:v>Scope 1, 2, 3</c:v>
          </c:tx>
          <c:dPt>
            <c:idx val="0"/>
            <c:bubble3D val="0"/>
            <c:spPr>
              <a:solidFill>
                <a:schemeClr val="accent1">
                  <a:lumMod val="60000"/>
                  <a:lumOff val="40000"/>
                </a:schemeClr>
              </a:solidFill>
              <a:ln w="19050">
                <a:solidFill>
                  <a:schemeClr val="lt1"/>
                </a:solidFill>
              </a:ln>
              <a:effectLst/>
            </c:spPr>
            <c:extLst>
              <c:ext xmlns:c16="http://schemas.microsoft.com/office/drawing/2014/chart" uri="{C3380CC4-5D6E-409C-BE32-E72D297353CC}">
                <c16:uniqueId val="{00000001-6028-49A5-B018-08B1689F65D5}"/>
              </c:ext>
            </c:extLst>
          </c:dPt>
          <c:dPt>
            <c:idx val="1"/>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3-6028-49A5-B018-08B1689F65D5}"/>
              </c:ext>
            </c:extLst>
          </c:dPt>
          <c:dPt>
            <c:idx val="2"/>
            <c:bubble3D val="0"/>
            <c:spPr>
              <a:solidFill>
                <a:schemeClr val="accent2">
                  <a:lumMod val="75000"/>
                </a:schemeClr>
              </a:solidFill>
              <a:ln w="19050">
                <a:solidFill>
                  <a:schemeClr val="lt1"/>
                </a:solidFill>
              </a:ln>
              <a:effectLst/>
            </c:spPr>
            <c:extLst>
              <c:ext xmlns:c16="http://schemas.microsoft.com/office/drawing/2014/chart" uri="{C3380CC4-5D6E-409C-BE32-E72D297353CC}">
                <c16:uniqueId val="{00000005-6028-49A5-B018-08B1689F65D5}"/>
              </c:ext>
            </c:extLst>
          </c:dPt>
          <c:dPt>
            <c:idx val="3"/>
            <c:bubble3D val="0"/>
            <c:spPr>
              <a:solidFill>
                <a:schemeClr val="accent2">
                  <a:lumMod val="50000"/>
                </a:schemeClr>
              </a:solidFill>
              <a:ln w="19050">
                <a:solidFill>
                  <a:schemeClr val="lt1"/>
                </a:solidFill>
              </a:ln>
              <a:effectLst/>
            </c:spPr>
            <c:extLst>
              <c:ext xmlns:c16="http://schemas.microsoft.com/office/drawing/2014/chart" uri="{C3380CC4-5D6E-409C-BE32-E72D297353CC}">
                <c16:uniqueId val="{00000007-6028-49A5-B018-08B1689F65D5}"/>
              </c:ext>
            </c:extLst>
          </c:dPt>
          <c:dPt>
            <c:idx val="4"/>
            <c:bubble3D val="0"/>
            <c:spPr>
              <a:solidFill>
                <a:schemeClr val="accent6">
                  <a:lumMod val="40000"/>
                  <a:lumOff val="60000"/>
                </a:schemeClr>
              </a:solidFill>
              <a:ln w="19050">
                <a:solidFill>
                  <a:schemeClr val="lt1"/>
                </a:solidFill>
              </a:ln>
              <a:effectLst/>
            </c:spPr>
            <c:extLst>
              <c:ext xmlns:c16="http://schemas.microsoft.com/office/drawing/2014/chart" uri="{C3380CC4-5D6E-409C-BE32-E72D297353CC}">
                <c16:uniqueId val="{00000009-6028-49A5-B018-08B1689F65D5}"/>
              </c:ext>
            </c:extLst>
          </c:dPt>
          <c:dPt>
            <c:idx val="5"/>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0B-6028-49A5-B018-08B1689F65D5}"/>
              </c:ext>
            </c:extLst>
          </c:dPt>
          <c:dPt>
            <c:idx val="6"/>
            <c:bubble3D val="0"/>
            <c:spPr>
              <a:solidFill>
                <a:schemeClr val="accent6">
                  <a:lumMod val="75000"/>
                </a:schemeClr>
              </a:solidFill>
              <a:ln w="19050">
                <a:solidFill>
                  <a:schemeClr val="lt1"/>
                </a:solidFill>
              </a:ln>
              <a:effectLst/>
            </c:spPr>
            <c:extLst>
              <c:ext xmlns:c16="http://schemas.microsoft.com/office/drawing/2014/chart" uri="{C3380CC4-5D6E-409C-BE32-E72D297353CC}">
                <c16:uniqueId val="{0000000D-6028-49A5-B018-08B1689F65D5}"/>
              </c:ext>
            </c:extLst>
          </c:dPt>
          <c:dPt>
            <c:idx val="7"/>
            <c:bubble3D val="0"/>
            <c:spPr>
              <a:solidFill>
                <a:schemeClr val="accent6">
                  <a:lumMod val="50000"/>
                </a:schemeClr>
              </a:solidFill>
              <a:ln w="19050">
                <a:solidFill>
                  <a:schemeClr val="lt1"/>
                </a:solidFill>
              </a:ln>
              <a:effectLst/>
            </c:spPr>
            <c:extLst>
              <c:ext xmlns:c16="http://schemas.microsoft.com/office/drawing/2014/chart" uri="{C3380CC4-5D6E-409C-BE32-E72D297353CC}">
                <c16:uniqueId val="{0000000F-6028-49A5-B018-08B1689F65D5}"/>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a-DK"/>
              </a:p>
            </c:txPr>
            <c:dLblPos val="bestFit"/>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('Resultat afløb'!$J$25:$J$26,'Resultat afløb'!$J$28:$J$29,'Resultat afløb'!$J$32:$J$35)</c:f>
              <c:strCache>
                <c:ptCount val="8"/>
                <c:pt idx="0">
                  <c:v>Købte brændsler</c:v>
                </c:pt>
                <c:pt idx="1">
                  <c:v>Driftsbiler</c:v>
                </c:pt>
                <c:pt idx="2">
                  <c:v>Købt el</c:v>
                </c:pt>
                <c:pt idx="3">
                  <c:v>Købt fjernvarme</c:v>
                </c:pt>
                <c:pt idx="4">
                  <c:v>Opstrøms emissioner fra fremstilling af brændsler til opvarmning</c:v>
                </c:pt>
                <c:pt idx="5">
                  <c:v>Opstrøms emissioner fra fremstilling af brændsler til driftsbiler</c:v>
                </c:pt>
                <c:pt idx="6">
                  <c:v>Opstrøms emissioner fra fremstilling af brændsler og energitab: el</c:v>
                </c:pt>
                <c:pt idx="7">
                  <c:v>Opstrøms emissioner fra fremstilling af brændsler og energitab: fjernvarme</c:v>
                </c:pt>
              </c:strCache>
            </c:strRef>
          </c:cat>
          <c:val>
            <c:numRef>
              <c:f>('Resultat afløb'!$K$25:$K$26,'Resultat afløb'!$K$28:$K$29,'Resultat afløb'!$K$32:$K$35)</c:f>
              <c:numCache>
                <c:formatCode>_-* #,##0_-;\-* #,##0_-;_-* "-"??_-;_-@_-</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15-9B07-45DC-B7F2-681177639522}"/>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6035953052816332"/>
          <c:y val="0.21086572741941317"/>
          <c:w val="0.33015805027523903"/>
          <c:h val="0.6295692732437793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Egenforsyningsgrad for afløb/transport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manualLayout>
          <c:layoutTarget val="inner"/>
          <c:xMode val="edge"/>
          <c:yMode val="edge"/>
          <c:x val="0.23206164172731877"/>
          <c:y val="0.1346606929224218"/>
          <c:w val="0.75035987462475151"/>
          <c:h val="0.65420557916367383"/>
        </c:manualLayout>
      </c:layout>
      <c:lineChart>
        <c:grouping val="standard"/>
        <c:varyColors val="0"/>
        <c:ser>
          <c:idx val="0"/>
          <c:order val="0"/>
          <c:tx>
            <c:strRef>
              <c:f>'Resultat afløb'!$C$42</c:f>
              <c:strCache>
                <c:ptCount val="1"/>
                <c:pt idx="0">
                  <c:v>Egenforsyningsgrad  [%]</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'Resultat afløb'!$D$38:$G$38</c:f>
              <c:numCache>
                <c:formatCode>General</c:formatCode>
                <c:ptCount val="4"/>
                <c:pt idx="0">
                  <c:v>2023</c:v>
                </c:pt>
                <c:pt idx="1">
                  <c:v>2025</c:v>
                </c:pt>
                <c:pt idx="2">
                  <c:v>2030</c:v>
                </c:pt>
                <c:pt idx="3">
                  <c:v>2035</c:v>
                </c:pt>
              </c:numCache>
            </c:numRef>
          </c:cat>
          <c:val>
            <c:numRef>
              <c:f>'Resultat afløb'!$D$42:$G$42</c:f>
              <c:numCache>
                <c:formatCode>0.0</c:formatCode>
                <c:ptCount val="4"/>
                <c:pt idx="0">
                  <c:v>0</c:v>
                </c:pt>
                <c:pt idx="1">
                  <c:v>0</c:v>
                </c:pt>
                <c:pt idx="2">
                  <c:v>0</c:v>
                </c:pt>
                <c:pt idx="3">
                  <c:v>0</c:v>
                </c:pt>
              </c:numCache>
            </c:numRef>
          </c:val>
          <c:smooth val="0"/>
          <c:extLst>
            <c:ext xmlns:c16="http://schemas.microsoft.com/office/drawing/2014/chart" uri="{C3380CC4-5D6E-409C-BE32-E72D297353CC}">
              <c16:uniqueId val="{00000005-7A12-4061-8B4B-97FD087ADB3D}"/>
            </c:ext>
          </c:extLst>
        </c:ser>
        <c:dLbls>
          <c:showLegendKey val="0"/>
          <c:showVal val="0"/>
          <c:showCatName val="0"/>
          <c:showSerName val="0"/>
          <c:showPercent val="0"/>
          <c:showBubbleSize val="0"/>
        </c:dLbls>
        <c:marker val="1"/>
        <c:smooth val="0"/>
        <c:axId val="1546676624"/>
        <c:axId val="1546679504"/>
      </c:line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a-DK"/>
              <a:t>Overordnet</a:t>
            </a:r>
            <a:r>
              <a:rPr lang="da-DK" baseline="0"/>
              <a:t> k</a:t>
            </a:r>
            <a:r>
              <a:rPr lang="da-DK"/>
              <a:t>limaaftryk</a:t>
            </a:r>
            <a:r>
              <a:rPr lang="da-DK" baseline="0"/>
              <a:t> for renseanlæg (lokal emissionsfaktor)</a:t>
            </a:r>
            <a:endParaRPr lang="da-DK"/>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barChart>
        <c:barDir val="col"/>
        <c:grouping val="stacked"/>
        <c:varyColors val="0"/>
        <c:ser>
          <c:idx val="0"/>
          <c:order val="0"/>
          <c:tx>
            <c:strRef>
              <c:f>'Resultat renseanlæg'!$J$43</c:f>
              <c:strCache>
                <c:ptCount val="1"/>
                <c:pt idx="0">
                  <c:v>Fjernede emissioner</c:v>
                </c:pt>
              </c:strCache>
            </c:strRef>
          </c:tx>
          <c:spPr>
            <a:solidFill>
              <a:schemeClr val="accent4"/>
            </a:solid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renseanlæg'!$K$43:$N$43</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6-BEA2-42BB-AC0E-04C5809D1C4A}"/>
            </c:ext>
          </c:extLst>
        </c:ser>
        <c:ser>
          <c:idx val="1"/>
          <c:order val="1"/>
          <c:tx>
            <c:strRef>
              <c:f>'Resultat renseanlæg'!$J$46</c:f>
              <c:strCache>
                <c:ptCount val="1"/>
                <c:pt idx="0">
                  <c:v>Undgåede emissioner</c:v>
                </c:pt>
              </c:strCache>
            </c:strRef>
          </c:tx>
          <c:spPr>
            <a:solidFill>
              <a:schemeClr val="accent3"/>
            </a:solid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renseanlæg'!$K$46:$N$46</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8-BEA2-42BB-AC0E-04C5809D1C4A}"/>
            </c:ext>
          </c:extLst>
        </c:ser>
        <c:ser>
          <c:idx val="2"/>
          <c:order val="2"/>
          <c:tx>
            <c:strRef>
              <c:f>'Resultat renseanlæg'!$J$60</c:f>
              <c:strCache>
                <c:ptCount val="1"/>
                <c:pt idx="0">
                  <c:v>Undgåede emissioner: eksterne varmepumper</c:v>
                </c:pt>
              </c:strCache>
            </c:strRef>
          </c:tx>
          <c:spPr>
            <a:pattFill prst="dkUpDiag">
              <a:fgClr>
                <a:schemeClr val="accent3"/>
              </a:fgClr>
              <a:bgClr>
                <a:schemeClr val="bg1"/>
              </a:bgClr>
            </a:patt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renseanlæg'!$K$60:$N$60</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9-BEA2-42BB-AC0E-04C5809D1C4A}"/>
            </c:ext>
          </c:extLst>
        </c:ser>
        <c:ser>
          <c:idx val="3"/>
          <c:order val="3"/>
          <c:tx>
            <c:strRef>
              <c:f>'Resultat renseanlæg'!$J$34</c:f>
              <c:strCache>
                <c:ptCount val="1"/>
                <c:pt idx="0">
                  <c:v>Scope 3 total </c:v>
                </c:pt>
              </c:strCache>
            </c:strRef>
          </c:tx>
          <c:spPr>
            <a:solidFill>
              <a:schemeClr val="accent6"/>
            </a:solid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renseanlæg'!$K$34:$N$34</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A-BEA2-42BB-AC0E-04C5809D1C4A}"/>
            </c:ext>
          </c:extLst>
        </c:ser>
        <c:ser>
          <c:idx val="4"/>
          <c:order val="4"/>
          <c:tx>
            <c:strRef>
              <c:f>'Resultat renseanlæg'!$J$31</c:f>
              <c:strCache>
                <c:ptCount val="1"/>
                <c:pt idx="0">
                  <c:v>Scope 2 total </c:v>
                </c:pt>
              </c:strCache>
            </c:strRef>
          </c:tx>
          <c:spPr>
            <a:solidFill>
              <a:schemeClr val="accent2"/>
            </a:solid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renseanlæg'!$K$31:$N$31</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B-BEA2-42BB-AC0E-04C5809D1C4A}"/>
            </c:ext>
          </c:extLst>
        </c:ser>
        <c:ser>
          <c:idx val="5"/>
          <c:order val="5"/>
          <c:tx>
            <c:strRef>
              <c:f>'Resultat renseanlæg'!$J$24</c:f>
              <c:strCache>
                <c:ptCount val="1"/>
                <c:pt idx="0">
                  <c:v>Scope 1 total</c:v>
                </c:pt>
              </c:strCache>
            </c:strRef>
          </c:tx>
          <c:spPr>
            <a:solidFill>
              <a:schemeClr val="accent5"/>
            </a:solidFill>
            <a:ln>
              <a:noFill/>
            </a:ln>
            <a:effectLst/>
          </c:spPr>
          <c:invertIfNegative val="0"/>
          <c:cat>
            <c:numRef>
              <c:f>'Resultat renseanlæg'!$D$23:$G$23</c:f>
              <c:numCache>
                <c:formatCode>General</c:formatCode>
                <c:ptCount val="4"/>
                <c:pt idx="0">
                  <c:v>2023</c:v>
                </c:pt>
                <c:pt idx="1">
                  <c:v>2025</c:v>
                </c:pt>
                <c:pt idx="2">
                  <c:v>2030</c:v>
                </c:pt>
                <c:pt idx="3">
                  <c:v>2035</c:v>
                </c:pt>
              </c:numCache>
            </c:numRef>
          </c:cat>
          <c:val>
            <c:numRef>
              <c:f>'Resultat renseanlæg'!$K$24:$N$24</c:f>
              <c:numCache>
                <c:formatCode>_-* #,##0_-;\-* #,##0_-;_-* "-"??_-;_-@_-</c:formatCode>
                <c:ptCount val="4"/>
                <c:pt idx="0">
                  <c:v>0</c:v>
                </c:pt>
                <c:pt idx="1">
                  <c:v>0</c:v>
                </c:pt>
                <c:pt idx="2">
                  <c:v>0</c:v>
                </c:pt>
                <c:pt idx="3">
                  <c:v>0</c:v>
                </c:pt>
              </c:numCache>
            </c:numRef>
          </c:val>
          <c:extLst>
            <c:ext xmlns:c16="http://schemas.microsoft.com/office/drawing/2014/chart" uri="{C3380CC4-5D6E-409C-BE32-E72D297353CC}">
              <c16:uniqueId val="{0000000C-BEA2-42BB-AC0E-04C5809D1C4A}"/>
            </c:ext>
          </c:extLst>
        </c:ser>
        <c:dLbls>
          <c:showLegendKey val="0"/>
          <c:showVal val="0"/>
          <c:showCatName val="0"/>
          <c:showSerName val="0"/>
          <c:showPercent val="0"/>
          <c:showBubbleSize val="0"/>
        </c:dLbls>
        <c:gapWidth val="150"/>
        <c:overlap val="100"/>
        <c:axId val="1546676624"/>
        <c:axId val="1546679504"/>
      </c:bar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sz="1400" b="1" i="0" u="none" strike="noStrike" kern="1200" spc="0" baseline="0">
                <a:solidFill>
                  <a:sysClr val="windowText" lastClr="000000">
                    <a:lumMod val="65000"/>
                    <a:lumOff val="35000"/>
                  </a:sysClr>
                </a:solidFill>
              </a:rPr>
              <a:t>Klimaaftryk for renseanlæg indenfor scope fordelt på emissionsposter for 2023</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pieChart>
        <c:varyColors val="1"/>
        <c:ser>
          <c:idx val="0"/>
          <c:order val="0"/>
          <c:tx>
            <c:v>Scope 1, 2, 3</c:v>
          </c:tx>
          <c:dPt>
            <c:idx val="0"/>
            <c:bubble3D val="0"/>
            <c:spPr>
              <a:solidFill>
                <a:schemeClr val="accent1">
                  <a:lumMod val="60000"/>
                  <a:lumOff val="40000"/>
                </a:schemeClr>
              </a:solidFill>
              <a:ln w="19050">
                <a:solidFill>
                  <a:schemeClr val="lt1"/>
                </a:solidFill>
              </a:ln>
              <a:effectLst/>
            </c:spPr>
            <c:extLst>
              <c:ext xmlns:c16="http://schemas.microsoft.com/office/drawing/2014/chart" uri="{C3380CC4-5D6E-409C-BE32-E72D297353CC}">
                <c16:uniqueId val="{00000001-0844-402E-BEC5-8F19BBF02BF5}"/>
              </c:ext>
            </c:extLst>
          </c:dPt>
          <c:dPt>
            <c:idx val="1"/>
            <c:bubble3D val="0"/>
            <c:spPr>
              <a:solidFill>
                <a:schemeClr val="accent1">
                  <a:lumMod val="75000"/>
                </a:schemeClr>
              </a:solidFill>
              <a:ln w="19050">
                <a:solidFill>
                  <a:schemeClr val="lt1"/>
                </a:solidFill>
              </a:ln>
              <a:effectLst/>
            </c:spPr>
            <c:extLst>
              <c:ext xmlns:c16="http://schemas.microsoft.com/office/drawing/2014/chart" uri="{C3380CC4-5D6E-409C-BE32-E72D297353CC}">
                <c16:uniqueId val="{00000003-0844-402E-BEC5-8F19BBF02BF5}"/>
              </c:ext>
            </c:extLst>
          </c:dPt>
          <c:dPt>
            <c:idx val="2"/>
            <c:bubble3D val="0"/>
            <c:spPr>
              <a:solidFill>
                <a:schemeClr val="accent1">
                  <a:lumMod val="75000"/>
                </a:schemeClr>
              </a:solidFill>
              <a:ln w="19050">
                <a:solidFill>
                  <a:schemeClr val="lt1"/>
                </a:solidFill>
              </a:ln>
              <a:effectLst/>
            </c:spPr>
            <c:extLst>
              <c:ext xmlns:c16="http://schemas.microsoft.com/office/drawing/2014/chart" uri="{C3380CC4-5D6E-409C-BE32-E72D297353CC}">
                <c16:uniqueId val="{00000005-0844-402E-BEC5-8F19BBF02BF5}"/>
              </c:ext>
            </c:extLst>
          </c:dPt>
          <c:dPt>
            <c:idx val="3"/>
            <c:bubble3D val="0"/>
            <c:spPr>
              <a:solidFill>
                <a:schemeClr val="accent1">
                  <a:lumMod val="20000"/>
                  <a:lumOff val="80000"/>
                </a:schemeClr>
              </a:solidFill>
              <a:ln w="19050">
                <a:solidFill>
                  <a:schemeClr val="lt1"/>
                </a:solidFill>
              </a:ln>
              <a:effectLst/>
            </c:spPr>
            <c:extLst>
              <c:ext xmlns:c16="http://schemas.microsoft.com/office/drawing/2014/chart" uri="{C3380CC4-5D6E-409C-BE32-E72D297353CC}">
                <c16:uniqueId val="{00000007-0844-402E-BEC5-8F19BBF02BF5}"/>
              </c:ext>
            </c:extLst>
          </c:dPt>
          <c:dPt>
            <c:idx val="4"/>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9-0844-402E-BEC5-8F19BBF02BF5}"/>
              </c:ext>
            </c:extLst>
          </c:dPt>
          <c:dPt>
            <c:idx val="5"/>
            <c:bubble3D val="0"/>
            <c:spPr>
              <a:solidFill>
                <a:schemeClr val="accent5">
                  <a:lumMod val="20000"/>
                  <a:lumOff val="80000"/>
                </a:schemeClr>
              </a:solidFill>
              <a:ln w="19050">
                <a:solidFill>
                  <a:schemeClr val="lt1"/>
                </a:solidFill>
              </a:ln>
              <a:effectLst/>
            </c:spPr>
            <c:extLst>
              <c:ext xmlns:c16="http://schemas.microsoft.com/office/drawing/2014/chart" uri="{C3380CC4-5D6E-409C-BE32-E72D297353CC}">
                <c16:uniqueId val="{0000000B-0844-402E-BEC5-8F19BBF02BF5}"/>
              </c:ext>
            </c:extLst>
          </c:dPt>
          <c:dPt>
            <c:idx val="6"/>
            <c:bubble3D val="0"/>
            <c:spPr>
              <a:solidFill>
                <a:schemeClr val="accent2">
                  <a:lumMod val="75000"/>
                </a:schemeClr>
              </a:solidFill>
              <a:ln w="19050">
                <a:solidFill>
                  <a:schemeClr val="lt1"/>
                </a:solidFill>
              </a:ln>
              <a:effectLst/>
            </c:spPr>
            <c:extLst>
              <c:ext xmlns:c16="http://schemas.microsoft.com/office/drawing/2014/chart" uri="{C3380CC4-5D6E-409C-BE32-E72D297353CC}">
                <c16:uniqueId val="{0000000D-0844-402E-BEC5-8F19BBF02BF5}"/>
              </c:ext>
            </c:extLst>
          </c:dPt>
          <c:dPt>
            <c:idx val="7"/>
            <c:bubble3D val="0"/>
            <c:spPr>
              <a:solidFill>
                <a:schemeClr val="accent2">
                  <a:lumMod val="50000"/>
                </a:schemeClr>
              </a:solidFill>
              <a:ln w="19050">
                <a:solidFill>
                  <a:schemeClr val="lt1"/>
                </a:solidFill>
              </a:ln>
              <a:effectLst/>
            </c:spPr>
            <c:extLst>
              <c:ext xmlns:c16="http://schemas.microsoft.com/office/drawing/2014/chart" uri="{C3380CC4-5D6E-409C-BE32-E72D297353CC}">
                <c16:uniqueId val="{0000000F-0844-402E-BEC5-8F19BBF02BF5}"/>
              </c:ext>
            </c:extLst>
          </c:dPt>
          <c:dPt>
            <c:idx val="8"/>
            <c:bubble3D val="0"/>
            <c:spPr>
              <a:solidFill>
                <a:schemeClr val="accent6">
                  <a:lumMod val="20000"/>
                  <a:lumOff val="80000"/>
                </a:schemeClr>
              </a:solidFill>
              <a:ln w="19050">
                <a:solidFill>
                  <a:schemeClr val="lt1"/>
                </a:solidFill>
              </a:ln>
              <a:effectLst/>
            </c:spPr>
            <c:extLst>
              <c:ext xmlns:c16="http://schemas.microsoft.com/office/drawing/2014/chart" uri="{C3380CC4-5D6E-409C-BE32-E72D297353CC}">
                <c16:uniqueId val="{00000011-0844-402E-BEC5-8F19BBF02BF5}"/>
              </c:ext>
            </c:extLst>
          </c:dPt>
          <c:dPt>
            <c:idx val="9"/>
            <c:bubble3D val="0"/>
            <c:spPr>
              <a:solidFill>
                <a:schemeClr val="accent6">
                  <a:lumMod val="40000"/>
                  <a:lumOff val="60000"/>
                </a:schemeClr>
              </a:solidFill>
              <a:ln w="19050">
                <a:solidFill>
                  <a:schemeClr val="lt1"/>
                </a:solidFill>
              </a:ln>
              <a:effectLst/>
            </c:spPr>
            <c:extLst>
              <c:ext xmlns:c16="http://schemas.microsoft.com/office/drawing/2014/chart" uri="{C3380CC4-5D6E-409C-BE32-E72D297353CC}">
                <c16:uniqueId val="{00000013-0844-402E-BEC5-8F19BBF02BF5}"/>
              </c:ext>
            </c:extLst>
          </c:dPt>
          <c:dPt>
            <c:idx val="10"/>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15-0844-402E-BEC5-8F19BBF02BF5}"/>
              </c:ext>
            </c:extLst>
          </c:dPt>
          <c:dPt>
            <c:idx val="11"/>
            <c:bubble3D val="0"/>
            <c:spPr>
              <a:solidFill>
                <a:schemeClr val="accent6">
                  <a:lumMod val="75000"/>
                </a:schemeClr>
              </a:solidFill>
              <a:ln w="19050">
                <a:solidFill>
                  <a:schemeClr val="lt1"/>
                </a:solidFill>
              </a:ln>
              <a:effectLst/>
            </c:spPr>
            <c:extLst>
              <c:ext xmlns:c16="http://schemas.microsoft.com/office/drawing/2014/chart" uri="{C3380CC4-5D6E-409C-BE32-E72D297353CC}">
                <c16:uniqueId val="{00000017-0844-402E-BEC5-8F19BBF02BF5}"/>
              </c:ext>
            </c:extLst>
          </c:dPt>
          <c:dPt>
            <c:idx val="12"/>
            <c:bubble3D val="0"/>
            <c:spPr>
              <a:solidFill>
                <a:schemeClr val="accent6">
                  <a:lumMod val="50000"/>
                </a:schemeClr>
              </a:solidFill>
              <a:ln w="19050">
                <a:solidFill>
                  <a:schemeClr val="lt1"/>
                </a:solidFill>
              </a:ln>
              <a:effectLst/>
            </c:spPr>
            <c:extLst>
              <c:ext xmlns:c16="http://schemas.microsoft.com/office/drawing/2014/chart" uri="{C3380CC4-5D6E-409C-BE32-E72D297353CC}">
                <c16:uniqueId val="{00000019-0844-402E-BEC5-8F19BBF02BF5}"/>
              </c:ext>
            </c:extLst>
          </c:dPt>
          <c:dPt>
            <c:idx val="13"/>
            <c:bubble3D val="0"/>
            <c:spPr>
              <a:solidFill>
                <a:srgbClr val="B4C0B0"/>
              </a:solidFill>
              <a:ln w="19050">
                <a:solidFill>
                  <a:schemeClr val="lt1"/>
                </a:solidFill>
              </a:ln>
              <a:effectLst/>
            </c:spPr>
            <c:extLst>
              <c:ext xmlns:c16="http://schemas.microsoft.com/office/drawing/2014/chart" uri="{C3380CC4-5D6E-409C-BE32-E72D297353CC}">
                <c16:uniqueId val="{0000001B-0844-402E-BEC5-8F19BBF02BF5}"/>
              </c:ext>
            </c:extLst>
          </c:dPt>
          <c:dPt>
            <c:idx val="14"/>
            <c:bubble3D val="0"/>
            <c:spPr>
              <a:solidFill>
                <a:schemeClr val="accent3">
                  <a:lumMod val="80000"/>
                  <a:lumOff val="20000"/>
                </a:schemeClr>
              </a:solidFill>
              <a:ln w="19050">
                <a:solidFill>
                  <a:schemeClr val="lt1"/>
                </a:solidFill>
              </a:ln>
              <a:effectLst/>
            </c:spPr>
            <c:extLst>
              <c:ext xmlns:c16="http://schemas.microsoft.com/office/drawing/2014/chart" uri="{C3380CC4-5D6E-409C-BE32-E72D297353CC}">
                <c16:uniqueId val="{0000001D-0844-402E-BEC5-8F19BBF02BF5}"/>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a-DK"/>
              </a:p>
            </c:txPr>
            <c:dLblPos val="bestFit"/>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('Resultat renseanlæg'!$J$25:$J$30,'Resultat renseanlæg'!$J$32:$J$33,'Resultat renseanlæg'!$J$35:$J$41)</c:f>
              <c:strCache>
                <c:ptCount val="15"/>
                <c:pt idx="0">
                  <c:v>Købte brændsler</c:v>
                </c:pt>
                <c:pt idx="1">
                  <c:v>CH4 fra mekanisk og biologisk rensning</c:v>
                </c:pt>
                <c:pt idx="2">
                  <c:v>N2O fra luftningstanke (evt. lokal emissionsfaktor)</c:v>
                </c:pt>
                <c:pt idx="3">
                  <c:v>CH4 fra biogasanlæg (evt. lokal emissionsfaktor)</c:v>
                </c:pt>
                <c:pt idx="4">
                  <c:v>Driftsbiler (kun for rene renseselskaber)</c:v>
                </c:pt>
                <c:pt idx="5">
                  <c:v>Intern slamlagring og -behandling</c:v>
                </c:pt>
                <c:pt idx="6">
                  <c:v>Købt el</c:v>
                </c:pt>
                <c:pt idx="7">
                  <c:v>Købt fjernvarme</c:v>
                </c:pt>
                <c:pt idx="8">
                  <c:v>Kemikalier og forbrugsstoffer</c:v>
                </c:pt>
                <c:pt idx="9">
                  <c:v>Opstrøms emissioner fra fremstilling af brændsler til opvarmning</c:v>
                </c:pt>
                <c:pt idx="10">
                  <c:v>Opstrøms emissioner fra fremstilling af brændsler til driftsbiler</c:v>
                </c:pt>
                <c:pt idx="11">
                  <c:v>Opstrøms emissioner fra fremstilling af brændsler og energitab: el</c:v>
                </c:pt>
                <c:pt idx="12">
                  <c:v>Opstrøms emissioner fra fremstilling af brændsler og energitab: fjernvarme</c:v>
                </c:pt>
                <c:pt idx="13">
                  <c:v>N2O i recipient</c:v>
                </c:pt>
                <c:pt idx="14">
                  <c:v>Ekstern slamlagring og -behandling</c:v>
                </c:pt>
              </c:strCache>
            </c:strRef>
          </c:cat>
          <c:val>
            <c:numRef>
              <c:f>('Resultat renseanlæg'!$K$25:$K$30,'Resultat renseanlæg'!$K$32:$K$33,'Resultat renseanlæg'!$K$35:$K$41)</c:f>
              <c:numCache>
                <c:formatCode>_-* #,##0_-;\-* #,##0_-;_-*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15-57C1-43CA-8807-995B08E928BD}"/>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565306521233524"/>
          <c:y val="6.262898735831425E-2"/>
          <c:w val="0.33318276141119169"/>
          <c:h val="0.937371012641685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a-DK"/>
              <a:t>Egenforsyningsgrad</a:t>
            </a:r>
            <a:r>
              <a:rPr lang="da-DK" baseline="0"/>
              <a:t> for renseanlæg [%]</a:t>
            </a:r>
            <a:endParaRPr lang="da-DK"/>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a-DK"/>
        </a:p>
      </c:txPr>
    </c:title>
    <c:autoTitleDeleted val="0"/>
    <c:plotArea>
      <c:layout/>
      <c:lineChart>
        <c:grouping val="standard"/>
        <c:varyColors val="0"/>
        <c:ser>
          <c:idx val="1"/>
          <c:order val="0"/>
          <c:tx>
            <c:strRef>
              <c:f>'Resultat renseanlæg'!$C$47</c:f>
              <c:strCache>
                <c:ptCount val="1"/>
                <c:pt idx="0">
                  <c:v>Egenforsyningsgrad (med ekstern varmepumpe) [%]</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'Resultat renseanlæg'!$D$41:$G$41</c:f>
              <c:numCache>
                <c:formatCode>General</c:formatCode>
                <c:ptCount val="4"/>
                <c:pt idx="0">
                  <c:v>2023</c:v>
                </c:pt>
                <c:pt idx="1">
                  <c:v>2025</c:v>
                </c:pt>
                <c:pt idx="2">
                  <c:v>2030</c:v>
                </c:pt>
                <c:pt idx="3">
                  <c:v>2035</c:v>
                </c:pt>
              </c:numCache>
            </c:numRef>
          </c:cat>
          <c:val>
            <c:numRef>
              <c:f>'Resultat renseanlæg'!$D$47:$G$47</c:f>
              <c:numCache>
                <c:formatCode>0.0</c:formatCode>
                <c:ptCount val="4"/>
                <c:pt idx="0">
                  <c:v>0</c:v>
                </c:pt>
                <c:pt idx="1">
                  <c:v>0</c:v>
                </c:pt>
                <c:pt idx="2">
                  <c:v>0</c:v>
                </c:pt>
                <c:pt idx="3">
                  <c:v>0</c:v>
                </c:pt>
              </c:numCache>
            </c:numRef>
          </c:val>
          <c:smooth val="0"/>
          <c:extLst>
            <c:ext xmlns:c16="http://schemas.microsoft.com/office/drawing/2014/chart" uri="{C3380CC4-5D6E-409C-BE32-E72D297353CC}">
              <c16:uniqueId val="{00000007-14A6-4B35-8E9F-52F0E4CE7E87}"/>
            </c:ext>
          </c:extLst>
        </c:ser>
        <c:ser>
          <c:idx val="0"/>
          <c:order val="1"/>
          <c:tx>
            <c:strRef>
              <c:f>'Resultat renseanlæg'!$C$46</c:f>
              <c:strCache>
                <c:ptCount val="1"/>
                <c:pt idx="0">
                  <c:v>Egenforsyningsgrad (uden ekstern varmepumpe) [%]</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'Resultat renseanlæg'!$D$41:$G$41</c:f>
              <c:numCache>
                <c:formatCode>General</c:formatCode>
                <c:ptCount val="4"/>
                <c:pt idx="0">
                  <c:v>2023</c:v>
                </c:pt>
                <c:pt idx="1">
                  <c:v>2025</c:v>
                </c:pt>
                <c:pt idx="2">
                  <c:v>2030</c:v>
                </c:pt>
                <c:pt idx="3">
                  <c:v>2035</c:v>
                </c:pt>
              </c:numCache>
            </c:numRef>
          </c:cat>
          <c:val>
            <c:numRef>
              <c:f>'Resultat renseanlæg'!$D$46:$G$46</c:f>
              <c:numCache>
                <c:formatCode>0.0</c:formatCode>
                <c:ptCount val="4"/>
                <c:pt idx="0">
                  <c:v>0</c:v>
                </c:pt>
                <c:pt idx="1">
                  <c:v>0</c:v>
                </c:pt>
                <c:pt idx="2">
                  <c:v>0</c:v>
                </c:pt>
                <c:pt idx="3">
                  <c:v>0</c:v>
                </c:pt>
              </c:numCache>
            </c:numRef>
          </c:val>
          <c:smooth val="0"/>
          <c:extLst>
            <c:ext xmlns:c16="http://schemas.microsoft.com/office/drawing/2014/chart" uri="{C3380CC4-5D6E-409C-BE32-E72D297353CC}">
              <c16:uniqueId val="{00000006-14A6-4B35-8E9F-52F0E4CE7E87}"/>
            </c:ext>
          </c:extLst>
        </c:ser>
        <c:dLbls>
          <c:showLegendKey val="0"/>
          <c:showVal val="0"/>
          <c:showCatName val="0"/>
          <c:showSerName val="0"/>
          <c:showPercent val="0"/>
          <c:showBubbleSize val="0"/>
        </c:dLbls>
        <c:marker val="1"/>
        <c:smooth val="0"/>
        <c:axId val="1546676624"/>
        <c:axId val="1546679504"/>
      </c:lineChart>
      <c:catAx>
        <c:axId val="1546676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9504"/>
        <c:crosses val="autoZero"/>
        <c:auto val="1"/>
        <c:lblAlgn val="ctr"/>
        <c:lblOffset val="100"/>
        <c:noMultiLvlLbl val="0"/>
      </c:catAx>
      <c:valAx>
        <c:axId val="1546679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da-DK"/>
                  <a:t>kg CO2e/år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54667662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da-DK"/>
          </a:p>
        </c:txPr>
      </c:dTable>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8.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1</xdr:col>
      <xdr:colOff>587375</xdr:colOff>
      <xdr:row>1</xdr:row>
      <xdr:rowOff>138111</xdr:rowOff>
    </xdr:from>
    <xdr:to>
      <xdr:col>14</xdr:col>
      <xdr:colOff>490538</xdr:colOff>
      <xdr:row>100</xdr:row>
      <xdr:rowOff>161924</xdr:rowOff>
    </xdr:to>
    <xdr:sp macro="" textlink="">
      <xdr:nvSpPr>
        <xdr:cNvPr id="2" name="TextBox 1">
          <a:extLst>
            <a:ext uri="{FF2B5EF4-FFF2-40B4-BE49-F238E27FC236}">
              <a16:creationId xmlns:a16="http://schemas.microsoft.com/office/drawing/2014/main" id="{8889D13E-D940-2484-D9A3-38A4C42DF272}"/>
            </a:ext>
          </a:extLst>
        </xdr:cNvPr>
        <xdr:cNvSpPr txBox="1"/>
      </xdr:nvSpPr>
      <xdr:spPr>
        <a:xfrm>
          <a:off x="1196975" y="328611"/>
          <a:ext cx="7827963" cy="1888331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lang="da-DK" sz="1200">
            <a:solidFill>
              <a:sysClr val="windowText" lastClr="000000"/>
            </a:solidFill>
            <a:effectLst/>
          </a:endParaRPr>
        </a:p>
        <a:p>
          <a:pPr algn="ctr"/>
          <a:r>
            <a:rPr lang="da-DK" sz="1200" b="0" u="sng" baseline="0">
              <a:solidFill>
                <a:sysClr val="windowText" lastClr="000000"/>
              </a:solidFill>
              <a:effectLst/>
            </a:rPr>
            <a:t>INDBERETNINGSARK TIL PARISMODEL V.2 - 24. oktober 2024</a:t>
          </a:r>
        </a:p>
        <a:p>
          <a:pPr algn="ctr"/>
          <a:endParaRPr lang="da-DK" sz="1200" b="0" u="sng" baseline="0">
            <a:solidFill>
              <a:sysClr val="windowText" lastClr="000000"/>
            </a:solidFill>
            <a:effectLst/>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200" b="0" i="0" u="none" strike="noStrike" kern="0" cap="none" spc="0" normalizeH="0" baseline="0" noProof="0">
              <a:ln>
                <a:noFill/>
              </a:ln>
              <a:solidFill>
                <a:prstClr val="black"/>
              </a:solidFill>
              <a:effectLst/>
              <a:uLnTx/>
              <a:uFillTx/>
              <a:latin typeface="+mn-lt"/>
              <a:ea typeface="+mn-ea"/>
              <a:cs typeface="+mn-cs"/>
            </a:rPr>
            <a:t>Dette er indbertningsarket til indberetning til vandsektorens Parismodel 2.0, der finder sted i november og december 2024.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200" b="0" i="0" u="none" strike="noStrike" kern="0" cap="none" spc="0" normalizeH="0" baseline="0" noProof="0">
              <a:ln>
                <a:noFill/>
              </a:ln>
              <a:solidFill>
                <a:prstClr val="black"/>
              </a:solidFill>
              <a:effectLst/>
              <a:uLnTx/>
              <a:uFillTx/>
              <a:latin typeface="+mn-lt"/>
              <a:ea typeface="+mn-ea"/>
              <a:cs typeface="+mn-cs"/>
            </a:rPr>
            <a:t>Indberetningen er frivillig, og resultaterne viser de enkelte selskabers og sektorens aktuelle (2023) og forventede (2025, 2030 og 2035) klimapåvirkning.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200" b="0" i="0" u="none" strike="noStrike" kern="0" cap="none" spc="0" normalizeH="0" baseline="0" noProof="0">
            <a:ln>
              <a:noFill/>
            </a:ln>
            <a:solidFill>
              <a:prstClr val="black"/>
            </a:solidFill>
            <a:effectLst/>
            <a:uLnTx/>
            <a:uFillTx/>
            <a:latin typeface="+mn-lt"/>
            <a:ea typeface="+mn-ea"/>
            <a:cs typeface="+mn-cs"/>
          </a:endParaRPr>
        </a:p>
        <a:p>
          <a:pPr algn="ctr"/>
          <a:endParaRPr lang="da-DK" sz="1200" b="0" baseline="0">
            <a:solidFill>
              <a:sysClr val="windowText" lastClr="000000"/>
            </a:solidFill>
            <a:effectLst/>
          </a:endParaRPr>
        </a:p>
        <a:p>
          <a:pPr algn="ctr"/>
          <a:r>
            <a:rPr lang="da-DK" sz="1200" b="1" baseline="0">
              <a:solidFill>
                <a:sysClr val="windowText" lastClr="000000"/>
              </a:solidFill>
              <a:effectLst/>
            </a:rPr>
            <a:t>Kort om Parismodel 2.0</a:t>
          </a:r>
        </a:p>
        <a:p>
          <a:pPr marL="0" marR="0" lvl="0" indent="0" algn="ctr" defTabSz="914400" eaLnBrk="1" fontAlgn="auto" latinLnBrk="0" hangingPunct="1">
            <a:lnSpc>
              <a:spcPct val="100000"/>
            </a:lnSpc>
            <a:spcBef>
              <a:spcPts val="0"/>
            </a:spcBef>
            <a:spcAft>
              <a:spcPts val="0"/>
            </a:spcAft>
            <a:buClrTx/>
            <a:buSzTx/>
            <a:buFontTx/>
            <a:buNone/>
            <a:tabLst/>
            <a:defRPr/>
          </a:pPr>
          <a:r>
            <a:rPr lang="da-DK" sz="1200" baseline="0">
              <a:solidFill>
                <a:schemeClr val="dk1"/>
              </a:solidFill>
              <a:effectLst/>
              <a:latin typeface="+mn-lt"/>
              <a:ea typeface="+mn-ea"/>
              <a:cs typeface="+mn-cs"/>
            </a:rPr>
            <a:t>Parismodel 2.0 er udviklet i et samarbejde mellem Miljøstyrelsen og DANVA. </a:t>
          </a:r>
          <a:r>
            <a:rPr kumimoji="0" lang="da-DK" sz="1200" b="0" i="0" u="none" strike="noStrike" kern="0" cap="none" spc="0" normalizeH="0" baseline="0" noProof="0">
              <a:ln>
                <a:noFill/>
              </a:ln>
              <a:solidFill>
                <a:prstClr val="black"/>
              </a:solidFill>
              <a:effectLst/>
              <a:uLnTx/>
              <a:uFillTx/>
              <a:latin typeface="+mn-lt"/>
              <a:ea typeface="+mn-ea"/>
              <a:cs typeface="+mn-cs"/>
            </a:rPr>
            <a:t>Modellen bygger videre på den første Parismodel fra 2020. Modellen </a:t>
          </a:r>
          <a:r>
            <a:rPr lang="da-DK" sz="1200" baseline="0">
              <a:solidFill>
                <a:schemeClr val="dk1"/>
              </a:solidFill>
              <a:effectLst/>
              <a:latin typeface="+mn-lt"/>
              <a:ea typeface="+mn-ea"/>
              <a:cs typeface="+mn-cs"/>
            </a:rPr>
            <a:t>opgør selskabernes energiperformance samt en indikation af klimaaftrykket fra de væsentligste procesrelaterede driftsemissioner i CO2e/år ve</a:t>
          </a:r>
          <a:r>
            <a:rPr kumimoji="0" lang="da-DK" sz="1200" b="0" i="0" u="none" strike="noStrike" kern="0" cap="none" spc="0" normalizeH="0" baseline="0" noProof="0">
              <a:ln>
                <a:noFill/>
              </a:ln>
              <a:solidFill>
                <a:prstClr val="black"/>
              </a:solidFill>
              <a:effectLst/>
              <a:uLnTx/>
              <a:uFillTx/>
              <a:latin typeface="+mn-lt"/>
              <a:ea typeface="+mn-ea"/>
              <a:cs typeface="+mn-cs"/>
            </a:rPr>
            <a:t>d at drive et drikkevands- eller spildevandsselskab.</a:t>
          </a:r>
        </a:p>
        <a:p>
          <a:pPr marL="0" marR="0" lvl="0" indent="0" algn="ctr" defTabSz="914400" eaLnBrk="1" fontAlgn="auto" latinLnBrk="0" hangingPunct="1">
            <a:lnSpc>
              <a:spcPct val="100000"/>
            </a:lnSpc>
            <a:spcBef>
              <a:spcPts val="0"/>
            </a:spcBef>
            <a:spcAft>
              <a:spcPts val="0"/>
            </a:spcAft>
            <a:buClrTx/>
            <a:buSzTx/>
            <a:buFontTx/>
            <a:buNone/>
            <a:tabLst/>
            <a:defRPr/>
          </a:pPr>
          <a:endParaRPr lang="da-DK" sz="1200">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da-DK" sz="1200" b="0" baseline="0">
              <a:solidFill>
                <a:sysClr val="windowText" lastClr="000000"/>
              </a:solidFill>
              <a:effectLst/>
              <a:latin typeface="+mn-lt"/>
              <a:ea typeface="+mn-ea"/>
              <a:cs typeface="+mn-cs"/>
            </a:rPr>
            <a:t>Se </a:t>
          </a:r>
          <a:r>
            <a:rPr lang="da-DK" sz="1200" b="1" i="1" baseline="0">
              <a:solidFill>
                <a:sysClr val="windowText" lastClr="000000"/>
              </a:solidFill>
              <a:effectLst/>
              <a:latin typeface="+mn-lt"/>
              <a:ea typeface="+mn-ea"/>
              <a:cs typeface="+mn-cs"/>
            </a:rPr>
            <a:t>V</a:t>
          </a:r>
          <a:r>
            <a:rPr lang="da-DK" sz="1200" b="1" i="1" baseline="0">
              <a:solidFill>
                <a:schemeClr val="dk1"/>
              </a:solidFill>
              <a:effectLst/>
              <a:latin typeface="+mn-lt"/>
              <a:ea typeface="+mn-ea"/>
              <a:cs typeface="+mn-cs"/>
            </a:rPr>
            <a:t>ejledning til indberetning til vandsektorens Parismodel 2.0 </a:t>
          </a:r>
          <a:r>
            <a:rPr lang="da-DK" sz="1200" b="0" i="0" baseline="0">
              <a:solidFill>
                <a:schemeClr val="dk1"/>
              </a:solidFill>
              <a:effectLst/>
              <a:latin typeface="+mn-lt"/>
              <a:ea typeface="+mn-ea"/>
              <a:cs typeface="+mn-cs"/>
            </a:rPr>
            <a:t>før indberetning. Vejledningen kan bl.a. anvendes som et opslagsværk, til begrundelse af valg af emissioner samt forklaring af beregninger af emissioner. </a:t>
          </a:r>
        </a:p>
        <a:p>
          <a:pPr marL="0" marR="0" lvl="0" indent="0" algn="ctr" defTabSz="914400" eaLnBrk="1" fontAlgn="auto" latinLnBrk="0" hangingPunct="1">
            <a:lnSpc>
              <a:spcPct val="100000"/>
            </a:lnSpc>
            <a:spcBef>
              <a:spcPts val="0"/>
            </a:spcBef>
            <a:spcAft>
              <a:spcPts val="0"/>
            </a:spcAft>
            <a:buClrTx/>
            <a:buSzTx/>
            <a:buFontTx/>
            <a:buNone/>
            <a:tabLst/>
            <a:defRPr/>
          </a:pPr>
          <a:endParaRPr lang="da-DK" sz="1200" b="0" i="0" baseline="0">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200" b="1" i="0" u="none" strike="noStrike" kern="0" cap="none" spc="0" normalizeH="0" baseline="0" noProof="0">
              <a:ln>
                <a:noFill/>
              </a:ln>
              <a:solidFill>
                <a:prstClr val="black"/>
              </a:solidFill>
              <a:effectLst/>
              <a:uLnTx/>
              <a:uFillTx/>
              <a:latin typeface="+mn-lt"/>
              <a:ea typeface="+mn-ea"/>
              <a:cs typeface="+mn-cs"/>
            </a:rPr>
            <a:t>Returnering af inderetningsark</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200" b="0" i="0" u="none" strike="noStrike" kern="0" cap="none" spc="0" normalizeH="0" baseline="0" noProof="0">
              <a:ln>
                <a:noFill/>
              </a:ln>
              <a:solidFill>
                <a:prstClr val="black"/>
              </a:solidFill>
              <a:effectLst/>
              <a:uLnTx/>
              <a:uFillTx/>
              <a:latin typeface="+mn-lt"/>
              <a:ea typeface="+mn-ea"/>
              <a:cs typeface="+mn-cs"/>
            </a:rPr>
            <a:t>Når indberetningsarket er udfyldt gemmes det og navngives med </a:t>
          </a:r>
          <a:r>
            <a:rPr kumimoji="0" lang="da-DK" sz="1200" b="1" i="1" u="none" strike="noStrike" kern="0" cap="none" spc="0" normalizeH="0" baseline="0" noProof="0">
              <a:ln>
                <a:noFill/>
              </a:ln>
              <a:solidFill>
                <a:prstClr val="black"/>
              </a:solidFill>
              <a:effectLst/>
              <a:uLnTx/>
              <a:uFillTx/>
              <a:latin typeface="+mn-lt"/>
              <a:ea typeface="+mn-ea"/>
              <a:cs typeface="+mn-cs"/>
            </a:rPr>
            <a:t>Selskabsnavn Parismodel 2.0 - indberetningsark</a:t>
          </a:r>
          <a:r>
            <a:rPr kumimoji="0" lang="da-DK" sz="1200" b="0" i="1" u="none" strike="noStrike" kern="0" cap="none" spc="0" normalizeH="0" baseline="0" noProof="0">
              <a:ln>
                <a:noFill/>
              </a:ln>
              <a:solidFill>
                <a:prstClr val="black"/>
              </a:solidFill>
              <a:effectLst/>
              <a:uLnTx/>
              <a:uFillTx/>
              <a:latin typeface="+mn-lt"/>
              <a:ea typeface="+mn-ea"/>
              <a:cs typeface="+mn-cs"/>
            </a:rPr>
            <a:t>.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200" b="0" i="0" u="none" strike="noStrike" kern="0" cap="none" spc="0" normalizeH="0" baseline="0" noProof="0">
              <a:ln>
                <a:noFill/>
              </a:ln>
              <a:solidFill>
                <a:prstClr val="black"/>
              </a:solidFill>
              <a:effectLst/>
              <a:uLnTx/>
              <a:uFillTx/>
              <a:latin typeface="+mn-lt"/>
              <a:ea typeface="+mn-ea"/>
              <a:cs typeface="+mn-cs"/>
            </a:rPr>
            <a:t>Send det udfyldte ark til </a:t>
          </a:r>
          <a:r>
            <a:rPr kumimoji="0" lang="da-DK" sz="1200" b="1" i="0" u="none" strike="noStrike" kern="0" cap="none" spc="0" normalizeH="0" baseline="0" noProof="0">
              <a:ln>
                <a:noFill/>
              </a:ln>
              <a:solidFill>
                <a:prstClr val="black"/>
              </a:solidFill>
              <a:effectLst/>
              <a:uLnTx/>
              <a:uFillTx/>
              <a:latin typeface="+mn-lt"/>
              <a:ea typeface="+mn-ea"/>
              <a:cs typeface="+mn-cs"/>
            </a:rPr>
            <a:t>bm@danva.dk.</a:t>
          </a:r>
        </a:p>
        <a:p>
          <a:pPr marL="0" marR="0" lvl="0" indent="0" algn="ctr" defTabSz="914400" eaLnBrk="1" fontAlgn="auto" latinLnBrk="0" hangingPunct="1">
            <a:lnSpc>
              <a:spcPct val="100000"/>
            </a:lnSpc>
            <a:spcBef>
              <a:spcPts val="0"/>
            </a:spcBef>
            <a:spcAft>
              <a:spcPts val="0"/>
            </a:spcAft>
            <a:buClrTx/>
            <a:buSzTx/>
            <a:buFontTx/>
            <a:buNone/>
            <a:tabLst/>
            <a:defRPr/>
          </a:pPr>
          <a:endParaRPr lang="da-DK" sz="1200" b="0" i="0" baseline="0">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da-DK" sz="1200" b="0" i="0" baseline="0">
              <a:solidFill>
                <a:schemeClr val="dk1"/>
              </a:solidFill>
              <a:effectLst/>
              <a:latin typeface="+mn-lt"/>
              <a:ea typeface="+mn-ea"/>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endParaRPr lang="da-DK" sz="1200" b="0" i="0" baseline="0">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da-DK" sz="1200" b="1" i="0" baseline="0">
              <a:solidFill>
                <a:schemeClr val="dk1"/>
              </a:solidFill>
              <a:effectLst/>
              <a:latin typeface="+mn-lt"/>
              <a:ea typeface="+mn-ea"/>
              <a:cs typeface="+mn-cs"/>
            </a:rPr>
            <a:t>Generel opbygning af regneark</a:t>
          </a:r>
          <a:endParaRPr lang="da-DK" sz="1200" baseline="0">
            <a:solidFill>
              <a:sysClr val="windowText" lastClr="000000"/>
            </a:solidFill>
            <a:effectLst/>
            <a:latin typeface="+mn-lt"/>
            <a:ea typeface="+mn-ea"/>
            <a:cs typeface="+mn-cs"/>
          </a:endParaRPr>
        </a:p>
        <a:p>
          <a:pPr algn="ctr"/>
          <a:r>
            <a:rPr lang="da-DK" sz="1200" baseline="0">
              <a:solidFill>
                <a:sysClr val="windowText" lastClr="000000"/>
              </a:solidFill>
              <a:effectLst/>
              <a:latin typeface="+mn-lt"/>
              <a:ea typeface="+mn-ea"/>
              <a:cs typeface="+mn-cs"/>
            </a:rPr>
            <a:t>I de grønne faner kan der indtastes oplysninger til Parismodel 2.0.</a:t>
          </a:r>
          <a:endParaRPr lang="da-DK" sz="1200">
            <a:solidFill>
              <a:sysClr val="windowText" lastClr="000000"/>
            </a:solidFill>
            <a:effectLst/>
          </a:endParaRPr>
        </a:p>
        <a:p>
          <a:pPr algn="ctr"/>
          <a:r>
            <a:rPr lang="da-DK" sz="1200" baseline="0">
              <a:solidFill>
                <a:sysClr val="windowText" lastClr="000000"/>
              </a:solidFill>
              <a:effectLst/>
              <a:latin typeface="+mn-lt"/>
              <a:ea typeface="+mn-ea"/>
              <a:cs typeface="+mn-cs"/>
            </a:rPr>
            <a:t>Under "Basisoplysninger" kan der vælges mellem selskaber, og indtastes kontaktoplysninger på indberetteren. Under fanen "Strategi" indtastes der, om det samlede selskab (drikkevand og spildevand) og eventuel koncern har en klima- og energistrategi. </a:t>
          </a:r>
        </a:p>
        <a:p>
          <a:pPr algn="ctr"/>
          <a:endParaRPr lang="da-DK" sz="1200" baseline="0">
            <a:solidFill>
              <a:sysClr val="windowText" lastClr="000000"/>
            </a:solidFill>
            <a:effectLst/>
            <a:latin typeface="+mn-lt"/>
            <a:ea typeface="+mn-ea"/>
            <a:cs typeface="+mn-cs"/>
          </a:endParaRPr>
        </a:p>
        <a:p>
          <a:pPr algn="ctr"/>
          <a:r>
            <a:rPr lang="da-DK" sz="1200" baseline="0">
              <a:solidFill>
                <a:sysClr val="windowText" lastClr="000000"/>
              </a:solidFill>
              <a:effectLst/>
              <a:latin typeface="+mn-lt"/>
              <a:ea typeface="+mn-ea"/>
              <a:cs typeface="+mn-cs"/>
            </a:rPr>
            <a:t>Under fanerne "Drikkevand", "Afløb" og "Rensning" indtastes oplysninger til Parismodel 2.0 på baggrund af aktuelle tal fra 2023 samt forventninger til 2025, 2030 og 2035.</a:t>
          </a:r>
        </a:p>
        <a:p>
          <a:pPr algn="ctr"/>
          <a:r>
            <a:rPr lang="da-DK" sz="1200" baseline="0">
              <a:solidFill>
                <a:sysClr val="windowText" lastClr="000000"/>
              </a:solidFill>
              <a:effectLst/>
              <a:latin typeface="+mn-lt"/>
              <a:ea typeface="+mn-ea"/>
              <a:cs typeface="+mn-cs"/>
            </a:rPr>
            <a:t>I fanen "hjælp" kan man finde beregningshjælp til at omregne fra forskellige enheder for brændseler og energi til kWh. </a:t>
          </a:r>
        </a:p>
        <a:p>
          <a:pPr algn="ctr"/>
          <a:r>
            <a:rPr lang="da-DK" sz="1200" baseline="0">
              <a:solidFill>
                <a:sysClr val="windowText" lastClr="000000"/>
              </a:solidFill>
              <a:effectLst/>
              <a:latin typeface="+mn-lt"/>
              <a:ea typeface="+mn-ea"/>
              <a:cs typeface="+mn-cs"/>
            </a:rPr>
            <a:t>Der er også hjælp til at beregne vægtede gennemsnit for metan i drikkevand og emissionsfaktorer for renseanlæg for lattergas og metan. </a:t>
          </a:r>
        </a:p>
        <a:p>
          <a:pPr algn="ctr"/>
          <a:endParaRPr lang="da-DK" sz="1200" baseline="0">
            <a:solidFill>
              <a:sysClr val="windowText" lastClr="000000"/>
            </a:solidFill>
            <a:effectLst/>
            <a:latin typeface="+mn-lt"/>
            <a:ea typeface="+mn-ea"/>
            <a:cs typeface="+mn-cs"/>
          </a:endParaRPr>
        </a:p>
        <a:p>
          <a:pPr algn="ctr"/>
          <a:r>
            <a:rPr lang="da-DK" sz="1200" baseline="0">
              <a:solidFill>
                <a:sysClr val="windowText" lastClr="000000"/>
              </a:solidFill>
              <a:effectLst/>
              <a:latin typeface="+mn-lt"/>
              <a:ea typeface="+mn-ea"/>
              <a:cs typeface="+mn-cs"/>
            </a:rPr>
            <a:t>I de orange faner kan resultaterne af indtastningen ses. De angives om kg CO2e/år.</a:t>
          </a:r>
        </a:p>
        <a:p>
          <a:pPr algn="ctr"/>
          <a:endParaRPr lang="da-DK" sz="1200" baseline="0">
            <a:solidFill>
              <a:sysClr val="windowText" lastClr="000000"/>
            </a:solidFill>
            <a:effectLst/>
            <a:latin typeface="+mn-lt"/>
            <a:ea typeface="+mn-ea"/>
            <a:cs typeface="+mn-cs"/>
          </a:endParaRPr>
        </a:p>
        <a:p>
          <a:pPr algn="ctr"/>
          <a:r>
            <a:rPr lang="da-DK" sz="1200" baseline="0">
              <a:solidFill>
                <a:sysClr val="windowText" lastClr="000000"/>
              </a:solidFill>
              <a:effectLst/>
              <a:latin typeface="+mn-lt"/>
              <a:ea typeface="+mn-ea"/>
              <a:cs typeface="+mn-cs"/>
            </a:rPr>
            <a:t>De grå faner indeholder emisisonsfaktorer samt de data fra PULS, Performancebenchamarkingen og DANVA, der anvendes i indberetningsarket. </a:t>
          </a:r>
        </a:p>
        <a:p>
          <a:pPr algn="ctr"/>
          <a:endParaRPr lang="da-DK" sz="1200" baseline="0">
            <a:solidFill>
              <a:sysClr val="windowText" lastClr="000000"/>
            </a:solidFill>
            <a:effectLst/>
            <a:latin typeface="+mn-lt"/>
            <a:ea typeface="+mn-ea"/>
            <a:cs typeface="+mn-cs"/>
          </a:endParaRPr>
        </a:p>
        <a:p>
          <a:pPr algn="ctr"/>
          <a:endParaRPr lang="da-DK" sz="1200" baseline="0">
            <a:solidFill>
              <a:sysClr val="windowText" lastClr="000000"/>
            </a:solidFill>
            <a:effectLst/>
            <a:latin typeface="+mn-lt"/>
            <a:ea typeface="+mn-ea"/>
            <a:cs typeface="+mn-cs"/>
          </a:endParaRPr>
        </a:p>
        <a:p>
          <a:pPr algn="ctr"/>
          <a:endParaRPr lang="da-DK" sz="1200" baseline="0">
            <a:solidFill>
              <a:sysClr val="windowText" lastClr="000000"/>
            </a:solidFill>
            <a:effectLst/>
            <a:latin typeface="+mn-lt"/>
            <a:ea typeface="+mn-ea"/>
            <a:cs typeface="+mn-cs"/>
          </a:endParaRPr>
        </a:p>
        <a:p>
          <a:pPr algn="ctr"/>
          <a:r>
            <a:rPr lang="da-DK" sz="1200" b="1" baseline="0">
              <a:solidFill>
                <a:sysClr val="windowText" lastClr="000000"/>
              </a:solidFill>
              <a:effectLst/>
              <a:latin typeface="+mn-lt"/>
              <a:ea typeface="+mn-ea"/>
              <a:cs typeface="+mn-cs"/>
            </a:rPr>
            <a:t>Versionshistorik</a:t>
          </a:r>
        </a:p>
        <a:p>
          <a:pPr algn="ctr"/>
          <a:r>
            <a:rPr lang="da-DK" sz="1200" b="0" baseline="0">
              <a:solidFill>
                <a:sysClr val="windowText" lastClr="000000"/>
              </a:solidFill>
              <a:effectLst/>
              <a:latin typeface="+mn-lt"/>
              <a:ea typeface="+mn-ea"/>
              <a:cs typeface="+mn-cs"/>
            </a:rPr>
            <a:t>Indberetningsark til Parismodel V.1: Den udgave af indberetningsarket som blev udsendt til vandforsyningerne den </a:t>
          </a:r>
          <a:r>
            <a:rPr lang="da-DK" sz="1100" b="0" baseline="0">
              <a:solidFill>
                <a:schemeClr val="dk1"/>
              </a:solidFill>
              <a:effectLst/>
              <a:latin typeface="+mn-lt"/>
              <a:ea typeface="+mn-ea"/>
              <a:cs typeface="+mn-cs"/>
            </a:rPr>
            <a:t>28/10</a:t>
          </a:r>
          <a:r>
            <a:rPr lang="da-DK" sz="1200" b="0" baseline="0">
              <a:solidFill>
                <a:sysClr val="windowText" lastClr="000000"/>
              </a:solidFill>
              <a:effectLst/>
              <a:latin typeface="+mn-lt"/>
              <a:ea typeface="+mn-ea"/>
              <a:cs typeface="+mn-cs"/>
            </a:rPr>
            <a:t>/2024</a:t>
          </a:r>
        </a:p>
        <a:p>
          <a:pPr algn="ctr"/>
          <a:endParaRPr lang="da-DK" sz="1200" b="0" baseline="0">
            <a:solidFill>
              <a:sysClr val="windowText" lastClr="000000"/>
            </a:solidFill>
            <a:effectLst/>
            <a:latin typeface="+mn-lt"/>
            <a:ea typeface="+mn-ea"/>
            <a:cs typeface="+mn-cs"/>
          </a:endParaRPr>
        </a:p>
        <a:p>
          <a:pPr algn="ctr"/>
          <a:r>
            <a:rPr lang="da-DK" sz="1200" b="0" baseline="0">
              <a:solidFill>
                <a:sysClr val="windowText" lastClr="000000"/>
              </a:solidFill>
              <a:effectLst/>
              <a:latin typeface="+mn-lt"/>
              <a:ea typeface="+mn-ea"/>
              <a:cs typeface="+mn-cs"/>
            </a:rPr>
            <a:t>Indberetningsark til Parismodel V.2: En opdateret udgave af indberetningsarket som blev udsendt efter indberetningsperioden.</a:t>
          </a:r>
        </a:p>
        <a:p>
          <a:pPr algn="ctr"/>
          <a:r>
            <a:rPr lang="da-DK" sz="1200" b="0" baseline="0">
              <a:solidFill>
                <a:sysClr val="windowText" lastClr="000000"/>
              </a:solidFill>
              <a:effectLst/>
              <a:latin typeface="+mn-lt"/>
              <a:ea typeface="+mn-ea"/>
              <a:cs typeface="+mn-cs"/>
            </a:rPr>
            <a:t>Denne udgave indeholder rettelser til fire formelfejl som påvirkede nogen resultater for spildevandselskaber og en række andre forbedringer.</a:t>
          </a:r>
        </a:p>
        <a:p>
          <a:pPr algn="l"/>
          <a:r>
            <a:rPr lang="da-DK" sz="1200" b="0" baseline="0">
              <a:solidFill>
                <a:sysClr val="windowText" lastClr="000000"/>
              </a:solidFill>
              <a:effectLst/>
              <a:latin typeface="+mn-lt"/>
              <a:ea typeface="+mn-ea"/>
              <a:cs typeface="+mn-cs"/>
            </a:rPr>
            <a:t>Formelfejl var:</a:t>
          </a:r>
        </a:p>
        <a:p>
          <a:pPr marL="342900" lvl="0" indent="-342900">
            <a:lnSpc>
              <a:spcPct val="107000"/>
            </a:lnSpc>
            <a:spcAft>
              <a:spcPts val="800"/>
            </a:spcAft>
            <a:buFont typeface="Arial" panose="020B0604020202020204" pitchFamily="34" charset="0"/>
            <a:buChar char="•"/>
            <a:tabLst>
              <a:tab pos="4572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Afløb: CO2-emissionerne fra kemikalieforbrug for afløb var ikke kommet med i resultatfanen for afløb, da det indtastet kemikalieforbrug blev ganget med en blank celle på drikkevandsfanen.</a:t>
          </a:r>
        </a:p>
        <a:p>
          <a:pPr marL="742950" lvl="1"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Fejl: Formel fejlen var i fanen Resultat afløb i cellerne K31:N31. Den oprindelige formel var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=SUM(Afløb!F82:F87*Drikkevand!$K$82:$K$87)</a:t>
          </a:r>
          <a:r>
            <a:rPr lang="da-DK" sz="1100" kern="100">
              <a:effectLst/>
              <a:latin typeface="Calibri" panose="020F0502020204030204" pitchFamily="34" charset="0"/>
              <a:ea typeface="Calibri" panose="020F0502020204030204" pitchFamily="34" charset="0"/>
              <a:cs typeface="Times New Roman" panose="02020603050405020304" pitchFamily="18" charset="0"/>
            </a:rPr>
            <a:t>.</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 </a:t>
          </a:r>
          <a:r>
            <a:rPr lang="da-DK" sz="1100" kern="100">
              <a:effectLst/>
              <a:latin typeface="Calibri" panose="020F0502020204030204" pitchFamily="34" charset="0"/>
              <a:ea typeface="Calibri" panose="020F0502020204030204" pitchFamily="34" charset="0"/>
              <a:cs typeface="Times New Roman" panose="02020603050405020304" pitchFamily="18" charset="0"/>
            </a:rPr>
            <a:t>Det første element i formlen er de indtastede kemikalieforbrug og det andet element er emissionsfaktoren. Det array som emissionsfaktoren henviser til, er i Drikkevandsfanen og indeholder kun blanke celler. Dette betød at det indtastede kemikalieforbrug blev ganget med nul og derefter summet sammen, hvilket resulterede i at CO2-emissionerne for kemikalieforbrug blev sat til nul på resultats siden.</a:t>
          </a:r>
        </a:p>
        <a:p>
          <a:pPr marL="1200150" lvl="2"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Rettelse: Da fejlen var en forkert henvisning, var løsningen at sætte henvisningen til Afløb fanen og ikke Drikkevand fanen. Den opdateret formel er derfor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=SUM(Afløb!F82:F87*Afløb!$K$82:$K$87)</a:t>
          </a:r>
          <a:r>
            <a:rPr lang="da-DK" sz="1100" kern="100">
              <a:effectLst/>
              <a:latin typeface="Calibri" panose="020F0502020204030204" pitchFamily="34" charset="0"/>
              <a:ea typeface="Calibri" panose="020F0502020204030204" pitchFamily="34" charset="0"/>
              <a:cs typeface="Times New Roman" panose="02020603050405020304" pitchFamily="18" charset="0"/>
            </a:rPr>
            <a:t>.</a:t>
          </a:r>
        </a:p>
        <a:p>
          <a:pPr marL="342900" lvl="0" indent="-342900">
            <a:lnSpc>
              <a:spcPct val="107000"/>
            </a:lnSpc>
            <a:spcAft>
              <a:spcPts val="800"/>
            </a:spcAft>
            <a:buFont typeface="Arial" panose="020B0604020202020204" pitchFamily="34" charset="0"/>
            <a:buChar char="•"/>
            <a:tabLst>
              <a:tab pos="4572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Renseanlæg: CO2-emissioner fra solgt egenproduceret varme for renseanlæg var ikke medregnet i resultats fanen for renseanlæg, da summen af indtastet solgt varme/energi blev ganget med en blank celle i stedet for en emissionsfaktor.</a:t>
          </a:r>
        </a:p>
        <a:p>
          <a:pPr marL="742950" lvl="1"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Formel fejlen var i fanen Resultat renseanlæg i cellerne K45:N48. Den oprindelige formel var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=IFERROR(Renseanlæg!F204*Renseanlæg!J204;"")</a:t>
          </a:r>
          <a:r>
            <a:rPr lang="da-DK" sz="1100" kern="100">
              <a:effectLst/>
              <a:latin typeface="Calibri" panose="020F0502020204030204" pitchFamily="34" charset="0"/>
              <a:ea typeface="Calibri" panose="020F0502020204030204" pitchFamily="34" charset="0"/>
              <a:cs typeface="Times New Roman" panose="02020603050405020304" pitchFamily="18" charset="0"/>
            </a:rPr>
            <a:t>. Det første element var samlede solgt varme/energi og det andet element var emissionsfaktoren. J204 til M204 er blanke, hvilket betød at CO2-emissionerne for solgt varme/energi på resultatsiden var nul. Cellerne er blanke, da der ikke findes emissionsfaktor for kategorien "Samlet solgt varme/energi".</a:t>
          </a:r>
        </a:p>
        <a:p>
          <a:pPr marL="1200150" lvl="2"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Rettelse: Da fejlen skyldes at der ikke kan sættes en emissionsfaktor på kategorien "Samlet solgt varme/energi", var løsningen at regne CO2-emissionerne for hver underkategori og derefter summe dem sammen. Den opdaterede formel er derfor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=IFERROR(SUMPRODUCT(Renseanlæg!F205:F208;Renseanlæg!J205:J208);"")</a:t>
          </a:r>
          <a:r>
            <a:rPr lang="da-DK" sz="1100" kern="100">
              <a:effectLst/>
              <a:latin typeface="Calibri" panose="020F0502020204030204" pitchFamily="34" charset="0"/>
              <a:ea typeface="Calibri" panose="020F0502020204030204" pitchFamily="34" charset="0"/>
              <a:cs typeface="Times New Roman" panose="02020603050405020304" pitchFamily="18" charset="0"/>
            </a:rPr>
            <a:t>. </a:t>
          </a:r>
        </a:p>
        <a:p>
          <a:pPr marL="342900" lvl="0" indent="-342900">
            <a:lnSpc>
              <a:spcPct val="107000"/>
            </a:lnSpc>
            <a:spcAft>
              <a:spcPts val="800"/>
            </a:spcAft>
            <a:buFont typeface="Arial" panose="020B0604020202020204" pitchFamily="34" charset="0"/>
            <a:buChar char="•"/>
            <a:tabLst>
              <a:tab pos="4572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Renseanlæg: CO2-emissioner fra købt el for renseanlæg var udregnet på baggrund af emissionsfaktoren på el for renseanlæg for vest Danmark i alle tilfælde.</a:t>
          </a:r>
        </a:p>
        <a:p>
          <a:pPr marL="742950" lvl="1"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Fejl: Formel fejlen var i fanen Renseanlæg i cellen D89. Den oprindelige formel var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=IF(Basisoplysninger!J7=1;"DK vest";"DKøst")</a:t>
          </a:r>
          <a:r>
            <a:rPr lang="da-DK" sz="1100" kern="100">
              <a:effectLst/>
              <a:latin typeface="Calibri" panose="020F0502020204030204" pitchFamily="34" charset="0"/>
              <a:ea typeface="Calibri" panose="020F0502020204030204" pitchFamily="34" charset="0"/>
              <a:cs typeface="Times New Roman" panose="02020603050405020304" pitchFamily="18" charset="0"/>
            </a:rPr>
            <a:t>. Emissionsfaktorerne som bruges til at omregne den købte el til en samlet CO2-emission ledte efter "DK øst" og returnerede el emissionsfaktoren for DK2 budzonen, hvis selskabet ligger i Østdanmark. Hvis selskabet ikke ligger i Østdanmark, returnerede formlen el emissionsfaktoren for DK1 budzonen. Det manglende mellemrum resulterede derfor i at CO2-emission for købt el blev beregnet på baggrund af el emissionsfaktoren for DK1 budzonen for alle selskaber.</a:t>
          </a:r>
        </a:p>
        <a:p>
          <a:pPr marL="1200150" lvl="2"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Rettelse: Da fejlen skyldes en uoverensstemmelse mellem hvad emissionsfaktor formlerne ledte efter og hvad beliggenhedsformelen returnerer, var løsningen af indsætte et mellemrum i "DKøst". Den opdateret formel er derfor </a:t>
          </a:r>
          <a:r>
            <a:rPr lang="da-DK" sz="1100" i="1" kern="100">
              <a:effectLst/>
              <a:latin typeface="Calibri" panose="020F0502020204030204" pitchFamily="34" charset="0"/>
              <a:ea typeface="Calibri" panose="020F0502020204030204" pitchFamily="34" charset="0"/>
              <a:cs typeface="Times New Roman" panose="02020603050405020304" pitchFamily="18" charset="0"/>
            </a:rPr>
            <a:t>=IFERROR(SUMPRODUCT(Renseanlæg!F205:F208;Renseanlæg!J205:J208);"")</a:t>
          </a:r>
          <a:r>
            <a:rPr lang="da-DK" sz="1100" kern="100">
              <a:effectLst/>
              <a:latin typeface="Calibri" panose="020F0502020204030204" pitchFamily="34" charset="0"/>
              <a:ea typeface="Calibri" panose="020F0502020204030204" pitchFamily="34" charset="0"/>
              <a:cs typeface="Times New Roman" panose="02020603050405020304" pitchFamily="18" charset="0"/>
            </a:rPr>
            <a:t>.</a:t>
          </a:r>
        </a:p>
        <a:p>
          <a:pPr marL="285750" lvl="0" indent="-285750">
            <a:lnSpc>
              <a:spcPct val="107000"/>
            </a:lnSpc>
            <a:spcAft>
              <a:spcPts val="800"/>
            </a:spcAft>
            <a:buFont typeface="Arial" panose="020B0604020202020204" pitchFamily="34" charset="0"/>
            <a:buChar char="•"/>
            <a:tabLst>
              <a:tab pos="914400" algn="l"/>
            </a:tabLst>
          </a:pPr>
          <a:r>
            <a:rPr lang="da-DK" sz="1100" kern="100">
              <a:effectLst/>
              <a:latin typeface="Calibri" panose="020F0502020204030204" pitchFamily="34" charset="0"/>
              <a:ea typeface="Calibri" panose="020F0502020204030204" pitchFamily="34" charset="0"/>
              <a:cs typeface="Times New Roman" panose="02020603050405020304" pitchFamily="18" charset="0"/>
            </a:rPr>
            <a:t>Renseanlæg: CO2-emissioner fra købt fjernvarme var udregnet baggrund</a:t>
          </a:r>
          <a:r>
            <a:rPr lang="da-DK" sz="1100" kern="100" baseline="0">
              <a:effectLst/>
              <a:latin typeface="Calibri" panose="020F0502020204030204" pitchFamily="34" charset="0"/>
              <a:ea typeface="Calibri" panose="020F0502020204030204" pitchFamily="34" charset="0"/>
              <a:cs typeface="Times New Roman" panose="02020603050405020304" pitchFamily="18" charset="0"/>
            </a:rPr>
            <a:t> af standardemissionesfaktoren og ikke den lokalt angivet EF.</a:t>
          </a:r>
        </a:p>
        <a:p>
          <a:pPr marL="742950" lvl="1" indent="-285750">
            <a:lnSpc>
              <a:spcPct val="107000"/>
            </a:lnSpc>
            <a:spcAft>
              <a:spcPts val="800"/>
            </a:spcAft>
            <a:buFont typeface="Arial" panose="020B0604020202020204" pitchFamily="34" charset="0"/>
            <a:buChar char="•"/>
            <a:tabLst>
              <a:tab pos="914400" algn="l"/>
            </a:tabLst>
          </a:pPr>
          <a:r>
            <a:rPr lang="da-DK" sz="1100" kern="100" baseline="0">
              <a:effectLst/>
              <a:latin typeface="Calibri" panose="020F0502020204030204" pitchFamily="34" charset="0"/>
              <a:ea typeface="Calibri" panose="020F0502020204030204" pitchFamily="34" charset="0"/>
              <a:cs typeface="Times New Roman" panose="02020603050405020304" pitchFamily="18" charset="0"/>
            </a:rPr>
            <a:t>Fejl: Formel fejlen var i fanen Renseanlæg i cellen J84. Den oprindelie formel var </a:t>
          </a:r>
          <a:r>
            <a:rPr lang="da-DK" sz="1100" i="1" kern="100" baseline="0">
              <a:effectLst/>
              <a:latin typeface="Calibri" panose="020F0502020204030204" pitchFamily="34" charset="0"/>
              <a:ea typeface="Calibri" panose="020F0502020204030204" pitchFamily="34" charset="0"/>
              <a:cs typeface="Times New Roman" panose="02020603050405020304" pitchFamily="18" charset="0"/>
            </a:rPr>
            <a:t>=IF(AND(ISNUMBER(J32);JJ23&gt;0);23;E42)</a:t>
          </a:r>
          <a:r>
            <a:rPr lang="da-DK" sz="1100" i="0" kern="100" baseline="0">
              <a:effectLst/>
              <a:latin typeface="Calibri" panose="020F0502020204030204" pitchFamily="34" charset="0"/>
              <a:ea typeface="Calibri" panose="020F0502020204030204" pitchFamily="34" charset="0"/>
              <a:cs typeface="Times New Roman" panose="02020603050405020304" pitchFamily="18" charset="0"/>
            </a:rPr>
            <a:t>. Formlen tjekkede om den lokalt angivet EF for fjernvarme var et tal og større end nul. Hvis arumenter var sande, vil den lokale EF blive brugt og ellers ville standard EF blive brugt. Det andet argument vil do altid være FALSE, hvorfor standard EF blev brugt i alle tilfælde.</a:t>
          </a:r>
        </a:p>
        <a:p>
          <a:pPr marL="1200150" lvl="2" indent="-285750">
            <a:lnSpc>
              <a:spcPct val="107000"/>
            </a:lnSpc>
            <a:spcAft>
              <a:spcPts val="800"/>
            </a:spcAft>
            <a:buFont typeface="Arial" panose="020B0604020202020204" pitchFamily="34" charset="0"/>
            <a:buChar char="•"/>
            <a:tabLst>
              <a:tab pos="914400" algn="l"/>
            </a:tabLst>
          </a:pPr>
          <a:r>
            <a:rPr lang="da-DK" sz="1100" i="0" kern="100" baseline="0">
              <a:effectLst/>
              <a:latin typeface="Calibri" panose="020F0502020204030204" pitchFamily="34" charset="0"/>
              <a:ea typeface="Calibri" panose="020F0502020204030204" pitchFamily="34" charset="0"/>
              <a:cs typeface="Times New Roman" panose="02020603050405020304" pitchFamily="18" charset="0"/>
            </a:rPr>
            <a:t>Rettelse: Da fejlen skyldes at argument to i AND funktionen ikke søgte i den korrekte celle, var løsningen at ændre argument to til at referere til J32 ligesom argument et. Den opdateret formel er derfor </a:t>
          </a:r>
          <a:r>
            <a:rPr lang="da-DK" sz="1100" i="1" kern="100" baseline="0">
              <a:effectLst/>
              <a:latin typeface="Calibri" panose="020F0502020204030204" pitchFamily="34" charset="0"/>
              <a:ea typeface="Calibri" panose="020F0502020204030204" pitchFamily="34" charset="0"/>
              <a:cs typeface="Times New Roman" panose="02020603050405020304" pitchFamily="18" charset="0"/>
            </a:rPr>
            <a:t>=IF(AND(ISNUMBER(J32);J32&gt;0);J32;E42)</a:t>
          </a:r>
          <a:r>
            <a:rPr lang="da-DK" sz="1100" i="0" kern="100" baseline="0">
              <a:effectLst/>
              <a:latin typeface="Calibri" panose="020F0502020204030204" pitchFamily="34" charset="0"/>
              <a:ea typeface="Calibri" panose="020F0502020204030204" pitchFamily="34" charset="0"/>
              <a:cs typeface="Times New Roman" panose="02020603050405020304" pitchFamily="18" charset="0"/>
            </a:rPr>
            <a:t>.</a:t>
          </a:r>
          <a:endParaRPr lang="da-DK" sz="1100" i="1" kern="100">
            <a:effectLst/>
            <a:latin typeface="Calibri" panose="020F0502020204030204" pitchFamily="34" charset="0"/>
            <a:ea typeface="Calibri" panose="020F0502020204030204" pitchFamily="34" charset="0"/>
            <a:cs typeface="Times New Roman" panose="02020603050405020304" pitchFamily="18" charset="0"/>
          </a:endParaRPr>
        </a:p>
        <a:p>
          <a:pPr marL="0" lvl="0" indent="0">
            <a:lnSpc>
              <a:spcPct val="107000"/>
            </a:lnSpc>
            <a:spcAft>
              <a:spcPts val="800"/>
            </a:spcAft>
            <a:buFont typeface="Arial" panose="020B0604020202020204" pitchFamily="34" charset="0"/>
            <a:buNone/>
            <a:tabLst>
              <a:tab pos="914400" algn="l"/>
            </a:tabLst>
          </a:pPr>
          <a:endParaRPr lang="da-DK" sz="1100" kern="100">
            <a:effectLst/>
            <a:latin typeface="Calibri" panose="020F0502020204030204" pitchFamily="34" charset="0"/>
            <a:ea typeface="Calibri" panose="020F0502020204030204" pitchFamily="34" charset="0"/>
            <a:cs typeface="Times New Roman" panose="02020603050405020304" pitchFamily="18" charset="0"/>
          </a:endParaRPr>
        </a:p>
        <a:p>
          <a:pPr marL="171450" indent="-171450" algn="l">
            <a:buFont typeface="Arial" panose="020B0604020202020204" pitchFamily="34" charset="0"/>
            <a:buChar char="•"/>
          </a:pPr>
          <a:endParaRPr lang="da-DK" sz="1100">
            <a:effectLst/>
          </a:endParaRPr>
        </a:p>
        <a:p>
          <a:pPr algn="ctr"/>
          <a:endParaRPr lang="da-DK" sz="1200" b="0" baseline="0">
            <a:solidFill>
              <a:sysClr val="windowText" lastClr="00000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380506</xdr:colOff>
      <xdr:row>2</xdr:row>
      <xdr:rowOff>93722</xdr:rowOff>
    </xdr:from>
    <xdr:to>
      <xdr:col>14</xdr:col>
      <xdr:colOff>2968</xdr:colOff>
      <xdr:row>15</xdr:row>
      <xdr:rowOff>492125</xdr:rowOff>
    </xdr:to>
    <xdr:sp macro="" textlink="">
      <xdr:nvSpPr>
        <xdr:cNvPr id="2" name="TextBox 1">
          <a:extLst>
            <a:ext uri="{FF2B5EF4-FFF2-40B4-BE49-F238E27FC236}">
              <a16:creationId xmlns:a16="http://schemas.microsoft.com/office/drawing/2014/main" id="{F62126CE-9494-D05D-952C-06489F7A50D7}"/>
            </a:ext>
          </a:extLst>
        </xdr:cNvPr>
        <xdr:cNvSpPr txBox="1"/>
      </xdr:nvSpPr>
      <xdr:spPr>
        <a:xfrm>
          <a:off x="3285631" y="903347"/>
          <a:ext cx="18402587" cy="7002403"/>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Kort instruks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Nedenfor indtastes oplysninger til Parismodel 2.0 for den danske vandsektor til indberetningsrunden i nov/dec 2024.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 indberetningen skal der skal både angives sidste års (2023) faktiske tal samt forventninger til 2025, 2030 og 2035.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Når der er valgt et selskab under arket "Basisoplysninger" vil de lysegrønne datafelter for 2023 blive udfyldt med data fra Miljøstyrelsens Performancebenchmarking (PBM), PULS og DANVA.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Det er muligt at rette i de lysegrønne felter, hvis man er uenig i tallet.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Hver post i Parismodel 2.0 er anført i en tabel i indberetningsarket nedenfor. Posterne er fordelt efter scope og i øverste højre side af hver tabel er der henvis til relevante afsnit i den tilhørende </a:t>
          </a:r>
          <a:r>
            <a:rPr kumimoji="0" lang="da-DK" sz="1600" b="1" i="1" u="none" strike="noStrike" kern="0" cap="none" spc="0" normalizeH="0" baseline="0" noProof="0">
              <a:ln>
                <a:noFill/>
              </a:ln>
              <a:solidFill>
                <a:sysClr val="windowText" lastClr="000000"/>
              </a:solidFill>
              <a:effectLst/>
              <a:uLnTx/>
              <a:uFillTx/>
              <a:latin typeface="+mn-lt"/>
              <a:ea typeface="+mn-ea"/>
              <a:cs typeface="+mn-cs"/>
            </a:rPr>
            <a:t>Vejledning til indberetning til vandsektorens Parismodel 2.0. </a:t>
          </a:r>
          <a:r>
            <a:rPr kumimoji="0" lang="da-DK" sz="1600" b="0" i="0" u="none" strike="noStrike" kern="0" cap="none" spc="0" normalizeH="0" baseline="0" noProof="0">
              <a:ln>
                <a:noFill/>
              </a:ln>
              <a:solidFill>
                <a:sysClr val="windowText" lastClr="000000"/>
              </a:solidFill>
              <a:effectLst/>
              <a:uLnTx/>
              <a:uFillTx/>
              <a:latin typeface="+mn-lt"/>
              <a:ea typeface="+mn-ea"/>
              <a:cs typeface="+mn-cs"/>
            </a:rPr>
            <a:t>Vejledningen kan anvendes som et opslagsværk ved tvivl, og der kan findes mere information om modellen, posterne og indberetningen.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Der anvendes emisisonsfaktorer baseret på klimakompasset og Danmarks nationale klimaregnskab. Emissionsfaktorer er fremskrevet i forhold til den forventede udvikling.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Hvis poster vurderes at være irrelevante for selskabet, så kan feltet efterlades blankt eller udfyldes med 0.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Forklaring af farver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Grønne felter (lysegrøn og mørkegrøn) skal udfyldes, hvis det er relevant.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Lysegrønne felter kan være udfyldt på forhånd med information fra PULS, Performancebenchmarkingen og DANVA. Det er muligt at rette tal i de forhåndsudfyldte felter, selvom de indeholder formler.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Indtastes noget ved en fejl i et formelfelt, kan det fortrydes med ctrl + z eller formlen kan kopieres fra samme felt ved at downloade et nyt indberetningsark.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Mørkegrå felter kan ikke ændres. De indeholder formler og udfyldes automatisk, når der indtastes informationer i de grønne felter.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Skraverede blå/grå felter kan ikke ændres. De indeholder emissionsfaktorer omregnet til kg CO2e/enhed. De fremgår allerede i arket eller opdateres automatisk ved valg fra drop-downlister.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Få steder er der hvide felter under emissionsfaktorerne. Det skyldes, at feltet er en overkategori, og der ikke findes en emissionsfaktor.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Resultater ses under fanen "Resultat drikkevand"</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214312</xdr:colOff>
      <xdr:row>2</xdr:row>
      <xdr:rowOff>134938</xdr:rowOff>
    </xdr:from>
    <xdr:to>
      <xdr:col>13</xdr:col>
      <xdr:colOff>2152936</xdr:colOff>
      <xdr:row>16</xdr:row>
      <xdr:rowOff>330774</xdr:rowOff>
    </xdr:to>
    <xdr:sp macro="" textlink="">
      <xdr:nvSpPr>
        <xdr:cNvPr id="4" name="TextBox 3">
          <a:extLst>
            <a:ext uri="{FF2B5EF4-FFF2-40B4-BE49-F238E27FC236}">
              <a16:creationId xmlns:a16="http://schemas.microsoft.com/office/drawing/2014/main" id="{E183EFFE-D5BB-4472-991B-3D1E82608131}"/>
            </a:ext>
          </a:extLst>
        </xdr:cNvPr>
        <xdr:cNvSpPr txBox="1"/>
      </xdr:nvSpPr>
      <xdr:spPr>
        <a:xfrm>
          <a:off x="3190875" y="960438"/>
          <a:ext cx="19917061" cy="3839149"/>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Kort instruks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Nedenfor indtastes oplysninger til Parismodel 2.0 for den danske vandsektor til indberetningsrunden i nov/dec 2024.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 indberetningen skal der skal både angives sidste års (2023) faktiske tal samt forventninger til 2025, 2030 og 2035.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Når der er valgt et selskab under arket "Basisoplysninger" vil de lysegrønne datafelter for 2023 blive udfyldt med data fra Miljøstyrelsens Performancebenchmarking (PBM), PULS og DANVA.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Det er muligt at rette i de lysegrønne felter, hvis man er uenig i tallet.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Hver post i Parismodel 2.0 er anført i en tabel i indberetningsarket nedenfor. Posterne er fordelt efter scope og i øverste højre side af hver tabel er der henvis til relevante afsnit i den tilhørende </a:t>
          </a:r>
          <a:r>
            <a:rPr kumimoji="0" lang="da-DK" sz="1600" b="1" i="1" u="none" strike="noStrike" kern="0" cap="none" spc="0" normalizeH="0" baseline="0" noProof="0">
              <a:ln>
                <a:noFill/>
              </a:ln>
              <a:solidFill>
                <a:sysClr val="windowText" lastClr="000000"/>
              </a:solidFill>
              <a:effectLst/>
              <a:uLnTx/>
              <a:uFillTx/>
              <a:latin typeface="+mn-lt"/>
              <a:ea typeface="+mn-ea"/>
              <a:cs typeface="+mn-cs"/>
            </a:rPr>
            <a:t>Vejledning til indberetning til vandsektorens Parismodel 2.0. </a:t>
          </a:r>
          <a:r>
            <a:rPr kumimoji="0" lang="da-DK" sz="1600" b="0" i="0" u="none" strike="noStrike" kern="0" cap="none" spc="0" normalizeH="0" baseline="0" noProof="0">
              <a:ln>
                <a:noFill/>
              </a:ln>
              <a:solidFill>
                <a:sysClr val="windowText" lastClr="000000"/>
              </a:solidFill>
              <a:effectLst/>
              <a:uLnTx/>
              <a:uFillTx/>
              <a:latin typeface="+mn-lt"/>
              <a:ea typeface="+mn-ea"/>
              <a:cs typeface="+mn-cs"/>
            </a:rPr>
            <a:t>Vejledningen kan anvendes som et opslagsværk ved tvivl, og der kan findes mere information om modellen, posterne og indberetningen.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Der anvendes emisisonsfaktorer baseret på klimakompasset og Danmarks nationale klimaregnskab. Emissionsfaktorer er fremskrevet i forhold til den forventede udvikling.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Hvis poster vurderes at være irrelevante for selskabet, så kan feltet efterlades blankt eller udfyldes med 0.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Forklaring af farver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Grønne felter (lysegrøn og mørkegrøn) skal udfyldes, hvis det er relevant.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Lysegrønne felter kan være udfyldt på forhånd med information fra PULS, Performancebenchmarkingen og DANVA. Det er muligt at rette tal i de forhåndsudfyldte felter, selvom de indeholder formler.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Indtastes noget ved en fejl i et formelfelt, kan det fortrydes med ctrl + z eller formlen kan kopieres fra samme felt ved at downloade et nyt indberetningsark.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Mørkegrå felter kan ikke ændres. De indeholder formler og udfyldes automatisk, når der indtastes informationer i de grønne felter.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Skraverede blå/grå felter kan ikke ændres. De indeholder emissionsfaktorer omregnet til kg CO2e/enhed. De fremgår allerede i arket eller opdateres automatisk ved valg fra drop-downlister.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Få steder er der hvide felter under emissionsfaktorerne. Det skyldes, at feltet er en overkategori, og der ikke findes en emissionsfaktor.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Resultater ses under fanen "Resultat afløb"</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380506</xdr:colOff>
      <xdr:row>2</xdr:row>
      <xdr:rowOff>74415</xdr:rowOff>
    </xdr:from>
    <xdr:to>
      <xdr:col>13</xdr:col>
      <xdr:colOff>1123742</xdr:colOff>
      <xdr:row>16</xdr:row>
      <xdr:rowOff>270251</xdr:rowOff>
    </xdr:to>
    <xdr:sp macro="" textlink="">
      <xdr:nvSpPr>
        <xdr:cNvPr id="2" name="TextBox 1">
          <a:extLst>
            <a:ext uri="{FF2B5EF4-FFF2-40B4-BE49-F238E27FC236}">
              <a16:creationId xmlns:a16="http://schemas.microsoft.com/office/drawing/2014/main" id="{9648ABE0-C5A1-46AA-B443-13F627026215}"/>
            </a:ext>
          </a:extLst>
        </xdr:cNvPr>
        <xdr:cNvSpPr txBox="1"/>
      </xdr:nvSpPr>
      <xdr:spPr>
        <a:xfrm>
          <a:off x="3360287" y="898199"/>
          <a:ext cx="18789250" cy="5511816"/>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Kort instruks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Nedenfor indtastes oplysninger til Parismodel 2.0 for den danske vandsektor til indberetningsrunden i nov/dec 2024.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 indberetningen skal der skal både angives sidste års (2023) faktiske tal samt forventninger til 2025, 2030 og 2035.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Når der er valgt et selskab under arket "Basisoplysninger" vil de lysegrønne datafelter for 2023 blive udfyldt med data fra Miljøstyrelsens Performancebenchmarking (PBM), PULS og DANVA.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Det er muligt at rette i de lysegrønne felter, hvis man er uenig i tallet.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Hver post i Parismodel 2.0 er anført i en tabel i indberetningsarket nedenfor. Posterne er fordelt efter scope og i øverste højre side af hver tabel er der henvis til relevante afsnit i den tilhørende </a:t>
          </a:r>
          <a:r>
            <a:rPr kumimoji="0" lang="da-DK" sz="1600" b="1" i="1" u="none" strike="noStrike" kern="0" cap="none" spc="0" normalizeH="0" baseline="0" noProof="0">
              <a:ln>
                <a:noFill/>
              </a:ln>
              <a:solidFill>
                <a:sysClr val="windowText" lastClr="000000"/>
              </a:solidFill>
              <a:effectLst/>
              <a:uLnTx/>
              <a:uFillTx/>
              <a:latin typeface="+mn-lt"/>
              <a:ea typeface="+mn-ea"/>
              <a:cs typeface="+mn-cs"/>
            </a:rPr>
            <a:t>Vejledning til indberetning til vandsektorens Parismodel 2.0. </a:t>
          </a:r>
          <a:r>
            <a:rPr kumimoji="0" lang="da-DK" sz="1600" b="0" i="0" u="none" strike="noStrike" kern="0" cap="none" spc="0" normalizeH="0" baseline="0" noProof="0">
              <a:ln>
                <a:noFill/>
              </a:ln>
              <a:solidFill>
                <a:sysClr val="windowText" lastClr="000000"/>
              </a:solidFill>
              <a:effectLst/>
              <a:uLnTx/>
              <a:uFillTx/>
              <a:latin typeface="+mn-lt"/>
              <a:ea typeface="+mn-ea"/>
              <a:cs typeface="+mn-cs"/>
            </a:rPr>
            <a:t>Vejledningen kan anvendes som et opslagsværk ved tvivl, og der kan findes mere information om modellen, posterne og indberetningen.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Der anvendes emisisonsfaktorer baseret på klimakompasset og Danmarks nationale klimaregnskab. Emissionsfaktorer er fremskrevet i forhold til den forventede udvikling.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Hvis poster vurderes at være irrelevante for selskabet, så kan feltet efterlades blankt eller udfyldes med 0.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Forklaring af farver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Grønne felter (lysegrøn og mørkegrøn) skal udfyldes, hvis det er relevant.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Lysegrønne felter kan være udfyldt på forhånd med information fra PULS, Performancebenchmarkingen og DANVA. Det er muligt at rette tal i de forhåndsudfyldte felter, selvom de indeholder formler.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Indtastes noget ved en fejl i et formelfelt, kan det fortrydes med ctrl + z eller formlen kan kopieres fra samme felt ved at downloade et nyt indberetningsark.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Mørkegrå felter kan ikke ændres. De indeholder formler og udfyldes automatisk, når der indtastes informationer i de grønne felter.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Skraverede blå/grå felter kan ikke ændres. De indeholder emissionsfaktorer omregnet til kg CO2e/enhed. De fremgår allerede i arket eller opdateres automatisk ved valg fra drop-downlister.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Få steder er der hvide felter under emissionsfaktorerne. Det skyldes, at feltet er en overkategori, og der ikke findes en emissionsfaktor.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Resultater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Resultater ses under fanen "Resultat renseanlæg"</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1</xdr:colOff>
      <xdr:row>0</xdr:row>
      <xdr:rowOff>40821</xdr:rowOff>
    </xdr:from>
    <xdr:to>
      <xdr:col>9</xdr:col>
      <xdr:colOff>1006929</xdr:colOff>
      <xdr:row>15</xdr:row>
      <xdr:rowOff>402167</xdr:rowOff>
    </xdr:to>
    <xdr:grpSp>
      <xdr:nvGrpSpPr>
        <xdr:cNvPr id="6" name="Group 5">
          <a:extLst>
            <a:ext uri="{FF2B5EF4-FFF2-40B4-BE49-F238E27FC236}">
              <a16:creationId xmlns:a16="http://schemas.microsoft.com/office/drawing/2014/main" id="{D6043C4A-6960-25C3-2281-556837072482}"/>
            </a:ext>
          </a:extLst>
        </xdr:cNvPr>
        <xdr:cNvGrpSpPr/>
      </xdr:nvGrpSpPr>
      <xdr:grpSpPr>
        <a:xfrm>
          <a:off x="2933701" y="40821"/>
          <a:ext cx="15427778" cy="6076346"/>
          <a:chOff x="2979965" y="40821"/>
          <a:chExt cx="15695840" cy="5304983"/>
        </a:xfrm>
      </xdr:grpSpPr>
      <xdr:sp macro="" textlink="">
        <xdr:nvSpPr>
          <xdr:cNvPr id="2" name="TextBox 1">
            <a:extLst>
              <a:ext uri="{FF2B5EF4-FFF2-40B4-BE49-F238E27FC236}">
                <a16:creationId xmlns:a16="http://schemas.microsoft.com/office/drawing/2014/main" id="{06CAAEBF-749A-4C4F-889E-54428D61E95B}"/>
              </a:ext>
            </a:extLst>
          </xdr:cNvPr>
          <xdr:cNvSpPr txBox="1"/>
        </xdr:nvSpPr>
        <xdr:spPr>
          <a:xfrm>
            <a:off x="2979965" y="40821"/>
            <a:ext cx="15695840" cy="5304983"/>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Kort instruks</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 denne fane beregnes der gennemsnitlig vægtede tal til brug i indberetningen til drikkevand og spildevand renseanlæg.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Klik på de små plus helt til venstre for at få vist hjælpeværktøjerne</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Indtast information i de grønne felter, hvor det er relevant.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Herefter beregnes den gennemsnitlig vægtede koncentration eller emissionsfaktor i de grå felter.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Kopier den beregnede værdi fra de grå felter ind i indberetningsfanerne "Drikkevand" og "Renseanlæg". HUSK, at indsætte tal i stedet for formler. Det kan gøres ved at højreklikke og trykke       eller ved at bruge genvejen shift + ctrl + v.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Indhold</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sng" strike="noStrike" kern="0" cap="none" spc="0" normalizeH="0" baseline="0" noProof="0">
                <a:ln>
                  <a:noFill/>
                </a:ln>
                <a:solidFill>
                  <a:sysClr val="windowText" lastClr="000000"/>
                </a:solidFill>
                <a:effectLst/>
                <a:uLnTx/>
                <a:uFillTx/>
                <a:latin typeface="+mn-lt"/>
                <a:ea typeface="+mn-ea"/>
                <a:cs typeface="+mn-cs"/>
              </a:rPr>
              <a:t>Drikkevand og spildevand</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Enhedsomregner: fra række 16</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sng" strike="noStrike" kern="0" cap="none" spc="0" normalizeH="0" baseline="0" noProof="0">
                <a:ln>
                  <a:noFill/>
                </a:ln>
                <a:solidFill>
                  <a:sysClr val="windowText" lastClr="000000"/>
                </a:solidFill>
                <a:effectLst/>
                <a:uLnTx/>
                <a:uFillTx/>
                <a:latin typeface="+mn-lt"/>
                <a:ea typeface="+mn-ea"/>
                <a:cs typeface="+mn-cs"/>
              </a:rPr>
              <a:t>Drikkevand</a:t>
            </a:r>
            <a:endParaRPr kumimoji="0" lang="da-DK" sz="1600" b="1" i="0" u="sng"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 Gennemsnitlig vægtet metankoncentration: fra række 30</a:t>
            </a:r>
            <a:endParaRPr kumimoji="0" lang="da-DK" sz="1600" b="1" i="0" u="none" strike="noStrike" kern="0" cap="none" spc="0" normalizeH="0" baseline="0" noProof="0">
              <a:ln>
                <a:noFill/>
              </a:ln>
              <a:solidFill>
                <a:srgbClr val="FF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sng" strike="noStrike" kern="0" cap="none" spc="0" normalizeH="0" baseline="0" noProof="0">
                <a:ln>
                  <a:noFill/>
                </a:ln>
                <a:solidFill>
                  <a:sysClr val="windowText" lastClr="000000"/>
                </a:solidFill>
                <a:effectLst/>
                <a:uLnTx/>
                <a:uFillTx/>
                <a:latin typeface="+mn-lt"/>
                <a:ea typeface="+mn-ea"/>
                <a:cs typeface="+mn-cs"/>
              </a:rPr>
              <a:t>Spildevand renseanlæg</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Gennemsnitlig vægtet emissionsfaktor ved lokal bestemt lattergas emissionsfaktor: fra række 74</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Gemnnemsnitlig vægtet emissionsfaktor ved lokal bestemt metan emissionsfaktor: fra række 96</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xdr:txBody>
      </xdr:sp>
      <xdr:pic>
        <xdr:nvPicPr>
          <xdr:cNvPr id="5" name="Picture 4">
            <a:extLst>
              <a:ext uri="{FF2B5EF4-FFF2-40B4-BE49-F238E27FC236}">
                <a16:creationId xmlns:a16="http://schemas.microsoft.com/office/drawing/2014/main" id="{3F22B697-0AC9-28FF-519B-CE987ECD6B3E}"/>
              </a:ext>
            </a:extLst>
          </xdr:cNvPr>
          <xdr:cNvPicPr>
            <a:picLocks noChangeAspect="1"/>
          </xdr:cNvPicPr>
        </xdr:nvPicPr>
        <xdr:blipFill>
          <a:blip xmlns:r="http://schemas.openxmlformats.org/officeDocument/2006/relationships" r:embed="rId1"/>
          <a:stretch>
            <a:fillRect/>
          </a:stretch>
        </xdr:blipFill>
        <xdr:spPr>
          <a:xfrm>
            <a:off x="9239257" y="1809751"/>
            <a:ext cx="252000" cy="291529"/>
          </a:xfrm>
          <a:prstGeom prst="rect">
            <a:avLst/>
          </a:prstGeom>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52864</xdr:colOff>
      <xdr:row>6</xdr:row>
      <xdr:rowOff>160421</xdr:rowOff>
    </xdr:from>
    <xdr:to>
      <xdr:col>6</xdr:col>
      <xdr:colOff>775335</xdr:colOff>
      <xdr:row>20</xdr:row>
      <xdr:rowOff>160966</xdr:rowOff>
    </xdr:to>
    <xdr:graphicFrame macro="">
      <xdr:nvGraphicFramePr>
        <xdr:cNvPr id="5" name="Chart 4">
          <a:extLst>
            <a:ext uri="{FF2B5EF4-FFF2-40B4-BE49-F238E27FC236}">
              <a16:creationId xmlns:a16="http://schemas.microsoft.com/office/drawing/2014/main" id="{D478C582-4EFB-C3CC-FBF7-C361A6297C5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33338</xdr:colOff>
      <xdr:row>6</xdr:row>
      <xdr:rowOff>120316</xdr:rowOff>
    </xdr:from>
    <xdr:to>
      <xdr:col>13</xdr:col>
      <xdr:colOff>859155</xdr:colOff>
      <xdr:row>21</xdr:row>
      <xdr:rowOff>14288</xdr:rowOff>
    </xdr:to>
    <xdr:graphicFrame macro="">
      <xdr:nvGraphicFramePr>
        <xdr:cNvPr id="3" name="Chart 2">
          <a:extLst>
            <a:ext uri="{FF2B5EF4-FFF2-40B4-BE49-F238E27FC236}">
              <a16:creationId xmlns:a16="http://schemas.microsoft.com/office/drawing/2014/main" id="{3CB5560F-0DE9-CAE2-7520-6CD097B24C5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33337</xdr:colOff>
      <xdr:row>31</xdr:row>
      <xdr:rowOff>309563</xdr:rowOff>
    </xdr:from>
    <xdr:to>
      <xdr:col>6</xdr:col>
      <xdr:colOff>755808</xdr:colOff>
      <xdr:row>39</xdr:row>
      <xdr:rowOff>67152</xdr:rowOff>
    </xdr:to>
    <xdr:graphicFrame macro="">
      <xdr:nvGraphicFramePr>
        <xdr:cNvPr id="2" name="Chart 1">
          <a:extLst>
            <a:ext uri="{FF2B5EF4-FFF2-40B4-BE49-F238E27FC236}">
              <a16:creationId xmlns:a16="http://schemas.microsoft.com/office/drawing/2014/main" id="{E0F7E26F-7D4F-451A-BB08-72A6AADCDF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561474</xdr:colOff>
      <xdr:row>2</xdr:row>
      <xdr:rowOff>230608</xdr:rowOff>
    </xdr:from>
    <xdr:to>
      <xdr:col>14</xdr:col>
      <xdr:colOff>30079</xdr:colOff>
      <xdr:row>5</xdr:row>
      <xdr:rowOff>523876</xdr:rowOff>
    </xdr:to>
    <xdr:sp macro="" textlink="">
      <xdr:nvSpPr>
        <xdr:cNvPr id="4" name="TextBox 3">
          <a:extLst>
            <a:ext uri="{FF2B5EF4-FFF2-40B4-BE49-F238E27FC236}">
              <a16:creationId xmlns:a16="http://schemas.microsoft.com/office/drawing/2014/main" id="{C0D6F89C-ED94-486A-9649-4FBF333A78E9}"/>
            </a:ext>
          </a:extLst>
        </xdr:cNvPr>
        <xdr:cNvSpPr txBox="1"/>
      </xdr:nvSpPr>
      <xdr:spPr>
        <a:xfrm>
          <a:off x="561474" y="1040233"/>
          <a:ext cx="15708730" cy="2007768"/>
        </a:xfrm>
        <a:prstGeom prst="rect">
          <a:avLst/>
        </a:prstGeom>
        <a:no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 for drikkevand (vejledning afsnit 7)</a:t>
          </a: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Her vises resultater af Parismodel 2.0 for drikkevand. I venstre side af arket vises selskabets overordnede fordeling af emissioner i Parismodel 2.0 mellem scope og udenfor scope [kg CO2e] samt energiperformance i form af egenforsyningsgrad [%]. Der er angivet emissioner både med og uden ekstern drevne varmepumper.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Til højre vises selskabets fordelingne af emissioner i Parisismodel 2.0 på de enkelte emissionsposter [kg CO2e].</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952</xdr:colOff>
      <xdr:row>7</xdr:row>
      <xdr:rowOff>45720</xdr:rowOff>
    </xdr:from>
    <xdr:to>
      <xdr:col>6</xdr:col>
      <xdr:colOff>742949</xdr:colOff>
      <xdr:row>20</xdr:row>
      <xdr:rowOff>146679</xdr:rowOff>
    </xdr:to>
    <xdr:graphicFrame macro="">
      <xdr:nvGraphicFramePr>
        <xdr:cNvPr id="13" name="Chart 12">
          <a:extLst>
            <a:ext uri="{FF2B5EF4-FFF2-40B4-BE49-F238E27FC236}">
              <a16:creationId xmlns:a16="http://schemas.microsoft.com/office/drawing/2014/main" id="{4AE1C9CE-23A4-43A2-BAC6-4CEE33ED91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323851</xdr:colOff>
      <xdr:row>7</xdr:row>
      <xdr:rowOff>38100</xdr:rowOff>
    </xdr:from>
    <xdr:to>
      <xdr:col>14</xdr:col>
      <xdr:colOff>257175</xdr:colOff>
      <xdr:row>21</xdr:row>
      <xdr:rowOff>71438</xdr:rowOff>
    </xdr:to>
    <xdr:graphicFrame macro="">
      <xdr:nvGraphicFramePr>
        <xdr:cNvPr id="16" name="Chart 15">
          <a:extLst>
            <a:ext uri="{FF2B5EF4-FFF2-40B4-BE49-F238E27FC236}">
              <a16:creationId xmlns:a16="http://schemas.microsoft.com/office/drawing/2014/main" id="{C5B2267A-E9B6-4C2B-8511-14E6D58800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29</xdr:row>
      <xdr:rowOff>0</xdr:rowOff>
    </xdr:from>
    <xdr:to>
      <xdr:col>6</xdr:col>
      <xdr:colOff>757237</xdr:colOff>
      <xdr:row>36</xdr:row>
      <xdr:rowOff>200502</xdr:rowOff>
    </xdr:to>
    <xdr:graphicFrame macro="">
      <xdr:nvGraphicFramePr>
        <xdr:cNvPr id="2" name="Chart 1">
          <a:extLst>
            <a:ext uri="{FF2B5EF4-FFF2-40B4-BE49-F238E27FC236}">
              <a16:creationId xmlns:a16="http://schemas.microsoft.com/office/drawing/2014/main" id="{E1EF1CA5-F3EE-4076-ADE0-856FA16EC3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297180</xdr:colOff>
      <xdr:row>3</xdr:row>
      <xdr:rowOff>83821</xdr:rowOff>
    </xdr:from>
    <xdr:to>
      <xdr:col>13</xdr:col>
      <xdr:colOff>657325</xdr:colOff>
      <xdr:row>6</xdr:row>
      <xdr:rowOff>44451</xdr:rowOff>
    </xdr:to>
    <xdr:sp macro="" textlink="">
      <xdr:nvSpPr>
        <xdr:cNvPr id="4" name="TextBox 3">
          <a:extLst>
            <a:ext uri="{FF2B5EF4-FFF2-40B4-BE49-F238E27FC236}">
              <a16:creationId xmlns:a16="http://schemas.microsoft.com/office/drawing/2014/main" id="{2AB5B8C0-3521-4E63-9C53-52B98F097515}"/>
            </a:ext>
          </a:extLst>
        </xdr:cNvPr>
        <xdr:cNvSpPr txBox="1"/>
      </xdr:nvSpPr>
      <xdr:spPr>
        <a:xfrm>
          <a:off x="297180" y="1277621"/>
          <a:ext cx="15720795" cy="1675130"/>
        </a:xfrm>
        <a:prstGeom prst="rect">
          <a:avLst/>
        </a:prstGeom>
        <a:no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 for afløb/transport (vejledning afsnit 7)</a:t>
          </a: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Her vises resultater af Parismodel 2.0 for afløb/transport. I venstre side af arket vises selskabets overordnede fordeling af emissioner i Parismodel 2.0 mellem scope og udenfor scope [kg CO2e] samt energiperformance i form af egenforsyningsgrad [%]. Til højre vises selskabets fordelingne af emissioner i Parisismodel 2.0 på de enkelte emissionsposter [kg CO2e].</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95250</xdr:colOff>
      <xdr:row>7</xdr:row>
      <xdr:rowOff>68580</xdr:rowOff>
    </xdr:from>
    <xdr:to>
      <xdr:col>7</xdr:col>
      <xdr:colOff>265264</xdr:colOff>
      <xdr:row>21</xdr:row>
      <xdr:rowOff>113339</xdr:rowOff>
    </xdr:to>
    <xdr:graphicFrame macro="">
      <xdr:nvGraphicFramePr>
        <xdr:cNvPr id="3" name="Chart 2">
          <a:extLst>
            <a:ext uri="{FF2B5EF4-FFF2-40B4-BE49-F238E27FC236}">
              <a16:creationId xmlns:a16="http://schemas.microsoft.com/office/drawing/2014/main" id="{DE56FCE6-1A84-4EA8-9241-D887CD4591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549203</xdr:colOff>
      <xdr:row>7</xdr:row>
      <xdr:rowOff>83819</xdr:rowOff>
    </xdr:from>
    <xdr:to>
      <xdr:col>14</xdr:col>
      <xdr:colOff>423863</xdr:colOff>
      <xdr:row>21</xdr:row>
      <xdr:rowOff>100012</xdr:rowOff>
    </xdr:to>
    <xdr:graphicFrame macro="">
      <xdr:nvGraphicFramePr>
        <xdr:cNvPr id="5" name="Chart 4">
          <a:extLst>
            <a:ext uri="{FF2B5EF4-FFF2-40B4-BE49-F238E27FC236}">
              <a16:creationId xmlns:a16="http://schemas.microsoft.com/office/drawing/2014/main" id="{BCA46CE5-A5F8-4F55-851D-3F42871D2E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0</xdr:colOff>
      <xdr:row>31</xdr:row>
      <xdr:rowOff>219075</xdr:rowOff>
    </xdr:from>
    <xdr:to>
      <xdr:col>7</xdr:col>
      <xdr:colOff>171205</xdr:colOff>
      <xdr:row>39</xdr:row>
      <xdr:rowOff>223838</xdr:rowOff>
    </xdr:to>
    <xdr:graphicFrame macro="">
      <xdr:nvGraphicFramePr>
        <xdr:cNvPr id="2" name="Chart 1">
          <a:extLst>
            <a:ext uri="{FF2B5EF4-FFF2-40B4-BE49-F238E27FC236}">
              <a16:creationId xmlns:a16="http://schemas.microsoft.com/office/drawing/2014/main" id="{FEAB4570-973A-44B1-BCF1-C239D5327F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110603</xdr:colOff>
      <xdr:row>2</xdr:row>
      <xdr:rowOff>478852</xdr:rowOff>
    </xdr:from>
    <xdr:to>
      <xdr:col>14</xdr:col>
      <xdr:colOff>369759</xdr:colOff>
      <xdr:row>6</xdr:row>
      <xdr:rowOff>363395</xdr:rowOff>
    </xdr:to>
    <xdr:sp macro="" textlink="">
      <xdr:nvSpPr>
        <xdr:cNvPr id="4" name="TextBox 3">
          <a:extLst>
            <a:ext uri="{FF2B5EF4-FFF2-40B4-BE49-F238E27FC236}">
              <a16:creationId xmlns:a16="http://schemas.microsoft.com/office/drawing/2014/main" id="{60D4C29F-6516-43FC-A0C0-58E6B018079C}"/>
            </a:ext>
          </a:extLst>
        </xdr:cNvPr>
        <xdr:cNvSpPr txBox="1"/>
      </xdr:nvSpPr>
      <xdr:spPr>
        <a:xfrm>
          <a:off x="720203" y="1291652"/>
          <a:ext cx="15734106" cy="2170543"/>
        </a:xfrm>
        <a:prstGeom prst="rect">
          <a:avLst/>
        </a:prstGeom>
        <a:no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1" i="0" u="none" strike="noStrike" kern="0" cap="none" spc="0" normalizeH="0" baseline="0" noProof="0">
              <a:ln>
                <a:noFill/>
              </a:ln>
              <a:solidFill>
                <a:sysClr val="windowText" lastClr="000000"/>
              </a:solidFill>
              <a:effectLst/>
              <a:uLnTx/>
              <a:uFillTx/>
              <a:latin typeface="+mn-lt"/>
              <a:ea typeface="+mn-ea"/>
              <a:cs typeface="+mn-cs"/>
            </a:rPr>
            <a:t>Resultat for renseanlæg (vejledning afsnit 7)</a:t>
          </a: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Her vises resultater af Parismodel 2.0 for renseanlæg. I venstre side af arket vises selskabets overordnede fordeling af emissioner i Parismodel 2.0 mellem scope og udenfor scope [kg CO2e] samt energiperformance i form af egenforsyningsgrad [%]. Der er angivet emissioner både med og uden ekstern drevne varmepumper.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Til højre vises selskabets fordelingne af emissioner i Parisismodel 2.0 på de enkelte emissionsposter [kg CO2e]. Der er som udgangspunkt vist resultater for lokale emisisonerfaktorer, hvis sådanne er angivet. </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da-DK" sz="1600" b="0" i="0" u="none" strike="noStrike" kern="0" cap="none" spc="0" normalizeH="0" baseline="0" noProof="0">
              <a:ln>
                <a:noFill/>
              </a:ln>
              <a:solidFill>
                <a:sysClr val="windowText" lastClr="000000"/>
              </a:solidFill>
              <a:effectLst/>
              <a:uLnTx/>
              <a:uFillTx/>
              <a:latin typeface="+mn-lt"/>
              <a:ea typeface="+mn-ea"/>
              <a:cs typeface="+mn-cs"/>
            </a:rPr>
            <a:t>Som standard vises 0 som en "-", da der er valgt talvisning med tusindstalsseparator i fremvisningen. Hvis man ønsker at få vist et 0 i stedet, så kan cellen formateres til "tal" under "hjem" ved at markere den.</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da-DK" sz="16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9011649-ADDC-4DD4-B064-85E3C8B0E2CF}" name="Table3" displayName="Table3" ref="A78:C120" totalsRowShown="0" headerRowDxfId="8" tableBorderDxfId="7">
  <autoFilter ref="A78:C120" xr:uid="{C9011649-ADDC-4DD4-B064-85E3C8B0E2CF}"/>
  <tableColumns count="3">
    <tableColumn id="1" xr3:uid="{DDDFD314-9DC3-40FA-9541-ACB5AFE9C0A4}" name="Kemikalie/forbrugsstof (drop-down)"/>
    <tableColumn id="2" xr3:uid="{AB70B998-728A-466D-974C-055B3B59385E}" name="Enhed"/>
    <tableColumn id="3" xr3:uid="{4ADAFCF4-ABB2-47BC-B4EE-7587740A40D1}" name="kg CO2e/enhed" dataDxfId="6"/>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70F5E-DE6E-4272-84AD-2477C0EF6FBF}">
  <sheetPr codeName="Sheet1">
    <tabColor theme="8" tint="-0.249977111117893"/>
  </sheetPr>
  <dimension ref="B21:D34"/>
  <sheetViews>
    <sheetView showGridLines="0" tabSelected="1" workbookViewId="0">
      <selection activeCell="Q10" sqref="Q10"/>
    </sheetView>
  </sheetViews>
  <sheetFormatPr defaultRowHeight="14.5" x14ac:dyDescent="0.35"/>
  <sheetData>
    <row r="21" spans="2:2" x14ac:dyDescent="0.35">
      <c r="B21" s="3"/>
    </row>
    <row r="24" spans="2:2" x14ac:dyDescent="0.35">
      <c r="B24" s="3"/>
    </row>
    <row r="34" spans="4:4" x14ac:dyDescent="0.35">
      <c r="D34" s="3"/>
    </row>
  </sheetData>
  <sheetProtection algorithmName="SHA-512" hashValue="WLZv6Rh9cHhd32rMaokRQW1liqdTKpihlu0WlV/cP1BmPjpM5NmBBLnpCLjKYFFxi0QACxsTyw5HeiraHF7dtg==" saltValue="o4BpAvo6kmhPnn1XqAinnQ=="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48163-3EC2-4845-9557-AF649592872F}">
  <sheetPr codeName="Sheet2">
    <tabColor rgb="FF9BAC96"/>
  </sheetPr>
  <dimension ref="A1:S30"/>
  <sheetViews>
    <sheetView showGridLines="0" workbookViewId="0">
      <selection activeCell="B7" sqref="B7"/>
    </sheetView>
  </sheetViews>
  <sheetFormatPr defaultRowHeight="14.5" x14ac:dyDescent="0.35"/>
  <cols>
    <col min="1" max="1" width="23.7265625" customWidth="1"/>
    <col min="2" max="2" width="27.453125" customWidth="1"/>
    <col min="3" max="3" width="20.26953125" customWidth="1"/>
    <col min="4" max="4" width="22.26953125" customWidth="1"/>
  </cols>
  <sheetData>
    <row r="1" spans="1:11" ht="32" x14ac:dyDescent="0.35">
      <c r="A1" s="334" t="s">
        <v>0</v>
      </c>
      <c r="B1" s="1"/>
      <c r="C1" s="1"/>
      <c r="D1" s="1"/>
      <c r="E1" s="1"/>
      <c r="F1" s="1"/>
      <c r="G1" s="1"/>
      <c r="H1" s="1"/>
    </row>
    <row r="2" spans="1:11" ht="32" x14ac:dyDescent="0.35">
      <c r="A2" s="334"/>
      <c r="B2" s="1"/>
      <c r="C2" s="1"/>
      <c r="D2" s="1"/>
      <c r="E2" s="1"/>
      <c r="F2" s="1"/>
      <c r="G2" s="1"/>
      <c r="H2" s="1"/>
    </row>
    <row r="3" spans="1:11" x14ac:dyDescent="0.35">
      <c r="A3" s="335" t="s">
        <v>1</v>
      </c>
      <c r="B3" s="1"/>
      <c r="C3" s="1"/>
      <c r="D3" s="1"/>
      <c r="E3" s="1"/>
      <c r="F3" s="1"/>
      <c r="G3" s="1"/>
      <c r="H3" s="1"/>
    </row>
    <row r="4" spans="1:11" x14ac:dyDescent="0.35">
      <c r="A4" s="1" t="s">
        <v>2</v>
      </c>
      <c r="B4" s="1"/>
      <c r="C4" s="1"/>
      <c r="D4" s="1"/>
      <c r="E4" s="1"/>
      <c r="F4" s="1"/>
      <c r="G4" s="1"/>
      <c r="H4" s="1"/>
    </row>
    <row r="5" spans="1:11" x14ac:dyDescent="0.35">
      <c r="A5" s="1"/>
      <c r="B5" s="1"/>
      <c r="C5" s="1"/>
      <c r="D5" s="1"/>
      <c r="E5" s="1"/>
      <c r="F5" s="1"/>
      <c r="G5" s="1"/>
      <c r="H5" s="1"/>
      <c r="I5" s="336"/>
      <c r="J5" s="7"/>
      <c r="K5" s="336"/>
    </row>
    <row r="6" spans="1:11" x14ac:dyDescent="0.35">
      <c r="A6" s="1" t="s">
        <v>3</v>
      </c>
      <c r="B6" s="84" t="s">
        <v>1387</v>
      </c>
      <c r="C6" s="337" t="s">
        <v>5</v>
      </c>
      <c r="E6" s="1"/>
      <c r="F6" s="1"/>
      <c r="G6" s="1"/>
      <c r="H6" s="1"/>
      <c r="I6" s="336"/>
      <c r="J6" s="7">
        <f>INDEX('Data DV'!R5:R236,MATCH(Basisoplysninger!B6,'Data DV'!$A$5:$A$236,0))</f>
        <v>1</v>
      </c>
      <c r="K6" s="336"/>
    </row>
    <row r="7" spans="1:11" x14ac:dyDescent="0.35">
      <c r="A7" s="1" t="s">
        <v>6</v>
      </c>
      <c r="B7" s="84" t="s">
        <v>1388</v>
      </c>
      <c r="C7" s="337" t="s">
        <v>7</v>
      </c>
      <c r="E7" s="1"/>
      <c r="F7" s="1"/>
      <c r="G7" s="1"/>
      <c r="H7" s="1"/>
      <c r="I7" s="336"/>
      <c r="J7" s="7">
        <f>INDEX('Data SPV trans'!O5:O106,MATCH(Basisoplysninger!B7,'Data SPV trans'!$A$5:$A$106,0))</f>
        <v>1</v>
      </c>
      <c r="K7" s="336"/>
    </row>
    <row r="8" spans="1:11" x14ac:dyDescent="0.35">
      <c r="A8" s="338"/>
      <c r="B8" s="339"/>
      <c r="C8" s="337"/>
      <c r="E8" s="1"/>
      <c r="F8" s="1"/>
      <c r="G8" s="1"/>
      <c r="H8" s="1"/>
      <c r="J8" s="7"/>
    </row>
    <row r="9" spans="1:11" x14ac:dyDescent="0.35">
      <c r="A9" s="1"/>
      <c r="B9" s="1"/>
      <c r="C9" s="1"/>
      <c r="E9" s="1"/>
      <c r="F9" s="1"/>
      <c r="G9" s="1"/>
      <c r="H9" s="1"/>
    </row>
    <row r="10" spans="1:11" x14ac:dyDescent="0.35">
      <c r="A10" s="335" t="s">
        <v>8</v>
      </c>
      <c r="E10" s="1"/>
      <c r="F10" s="1"/>
      <c r="G10" s="1"/>
      <c r="H10" s="1"/>
    </row>
    <row r="11" spans="1:11" x14ac:dyDescent="0.35">
      <c r="A11" s="337" t="s">
        <v>9</v>
      </c>
      <c r="B11" s="704"/>
      <c r="C11" s="337" t="s">
        <v>1161</v>
      </c>
      <c r="E11" s="1"/>
      <c r="F11" s="1"/>
      <c r="G11" s="1"/>
      <c r="H11" s="1"/>
    </row>
    <row r="12" spans="1:11" x14ac:dyDescent="0.35">
      <c r="A12" s="337" t="s">
        <v>10</v>
      </c>
      <c r="B12" s="705"/>
      <c r="C12" s="1"/>
      <c r="D12" s="1"/>
      <c r="E12" s="1"/>
      <c r="F12" s="1"/>
      <c r="G12" s="1"/>
      <c r="H12" s="1"/>
    </row>
    <row r="13" spans="1:11" x14ac:dyDescent="0.35">
      <c r="A13" s="337" t="s">
        <v>11</v>
      </c>
      <c r="B13" s="705"/>
      <c r="C13" s="1"/>
      <c r="D13" s="1"/>
      <c r="E13" s="1"/>
      <c r="F13" s="1"/>
      <c r="G13" s="1"/>
      <c r="H13" s="1"/>
    </row>
    <row r="14" spans="1:11" x14ac:dyDescent="0.35">
      <c r="A14" s="1"/>
      <c r="B14" s="1"/>
      <c r="C14" s="1"/>
      <c r="D14" s="1"/>
      <c r="E14" s="1"/>
      <c r="F14" s="1"/>
      <c r="G14" s="1"/>
      <c r="H14" s="1"/>
    </row>
    <row r="15" spans="1:11" x14ac:dyDescent="0.35">
      <c r="A15" s="335"/>
      <c r="B15" s="1"/>
      <c r="C15" s="1"/>
      <c r="D15" s="1"/>
      <c r="E15" s="1"/>
      <c r="F15" s="1"/>
      <c r="G15" s="1"/>
      <c r="H15" s="1"/>
    </row>
    <row r="18" spans="1:19" x14ac:dyDescent="0.35">
      <c r="A18" s="4" t="s">
        <v>1310</v>
      </c>
      <c r="Q18" s="298"/>
      <c r="R18" s="298"/>
      <c r="S18" s="298"/>
    </row>
    <row r="19" spans="1:19" x14ac:dyDescent="0.35">
      <c r="A19" t="s">
        <v>1162</v>
      </c>
      <c r="Q19" s="298"/>
      <c r="R19" s="298"/>
      <c r="S19" s="298"/>
    </row>
    <row r="20" spans="1:19" x14ac:dyDescent="0.35">
      <c r="A20" t="s">
        <v>1163</v>
      </c>
      <c r="Q20" s="298"/>
      <c r="R20" s="298"/>
      <c r="S20" s="298"/>
    </row>
    <row r="21" spans="1:19" x14ac:dyDescent="0.35">
      <c r="Q21" s="298"/>
      <c r="R21" s="298"/>
      <c r="S21" s="298"/>
    </row>
    <row r="22" spans="1:19" ht="42.75" customHeight="1" x14ac:dyDescent="0.35">
      <c r="A22" s="900"/>
      <c r="B22" s="900"/>
      <c r="C22" s="900"/>
      <c r="D22" s="900"/>
      <c r="E22" s="900"/>
      <c r="F22" s="900"/>
      <c r="G22" s="900"/>
      <c r="H22" s="900"/>
      <c r="I22" s="900"/>
      <c r="Q22" s="298"/>
      <c r="R22" s="298"/>
      <c r="S22" s="298"/>
    </row>
    <row r="23" spans="1:19" x14ac:dyDescent="0.35">
      <c r="A23" s="900"/>
      <c r="B23" s="900"/>
      <c r="C23" s="900"/>
      <c r="D23" s="900"/>
      <c r="E23" s="900"/>
      <c r="F23" s="900"/>
      <c r="G23" s="900"/>
      <c r="H23" s="900"/>
      <c r="I23" s="900"/>
      <c r="Q23" s="298"/>
      <c r="R23" s="298"/>
      <c r="S23" s="298"/>
    </row>
    <row r="24" spans="1:19" x14ac:dyDescent="0.35">
      <c r="A24" s="900"/>
      <c r="B24" s="900"/>
      <c r="C24" s="900"/>
      <c r="D24" s="900"/>
      <c r="E24" s="900"/>
      <c r="F24" s="900"/>
      <c r="G24" s="900"/>
      <c r="H24" s="900"/>
      <c r="I24" s="900"/>
      <c r="Q24" s="298"/>
      <c r="R24" s="298"/>
      <c r="S24" s="298"/>
    </row>
    <row r="25" spans="1:19" x14ac:dyDescent="0.35">
      <c r="A25" s="900"/>
      <c r="B25" s="900"/>
      <c r="C25" s="900"/>
      <c r="D25" s="900"/>
      <c r="E25" s="900"/>
      <c r="F25" s="900"/>
      <c r="G25" s="900"/>
      <c r="H25" s="900"/>
      <c r="I25" s="900"/>
      <c r="Q25" s="298"/>
      <c r="R25" s="298"/>
      <c r="S25" s="298"/>
    </row>
    <row r="26" spans="1:19" x14ac:dyDescent="0.35">
      <c r="A26" s="900"/>
      <c r="B26" s="900"/>
      <c r="C26" s="900"/>
      <c r="D26" s="900"/>
      <c r="E26" s="900"/>
      <c r="F26" s="900"/>
      <c r="G26" s="900"/>
      <c r="H26" s="900"/>
      <c r="I26" s="900"/>
      <c r="Q26" s="298"/>
      <c r="R26" s="298"/>
      <c r="S26" s="298"/>
    </row>
    <row r="27" spans="1:19" x14ac:dyDescent="0.35">
      <c r="A27" s="900"/>
      <c r="B27" s="900"/>
      <c r="C27" s="900"/>
      <c r="D27" s="900"/>
      <c r="E27" s="900"/>
      <c r="F27" s="900"/>
      <c r="G27" s="900"/>
      <c r="H27" s="900"/>
      <c r="I27" s="900"/>
      <c r="Q27" s="298"/>
      <c r="R27" s="298"/>
      <c r="S27" s="298"/>
    </row>
    <row r="28" spans="1:19" x14ac:dyDescent="0.35">
      <c r="A28" s="900"/>
      <c r="B28" s="900"/>
      <c r="C28" s="900"/>
      <c r="D28" s="900"/>
      <c r="E28" s="900"/>
      <c r="F28" s="900"/>
      <c r="G28" s="900"/>
      <c r="H28" s="900"/>
      <c r="I28" s="900"/>
    </row>
    <row r="29" spans="1:19" x14ac:dyDescent="0.35">
      <c r="A29" s="900"/>
      <c r="B29" s="900"/>
      <c r="C29" s="900"/>
      <c r="D29" s="900"/>
      <c r="E29" s="900"/>
      <c r="F29" s="900"/>
      <c r="G29" s="900"/>
      <c r="H29" s="900"/>
      <c r="I29" s="900"/>
    </row>
    <row r="30" spans="1:19" x14ac:dyDescent="0.35">
      <c r="A30" s="900"/>
      <c r="B30" s="900"/>
      <c r="C30" s="900"/>
      <c r="D30" s="900"/>
      <c r="E30" s="900"/>
      <c r="F30" s="900"/>
      <c r="G30" s="900"/>
      <c r="H30" s="900"/>
      <c r="I30" s="900"/>
    </row>
  </sheetData>
  <sheetProtection algorithmName="SHA-512" hashValue="cIAntzpCRLdfKROVFtFUr+gPxu1HkCCur6yVjhM8HQhHeM5NuVvadWroM2fjVA1hV+hPKreD7jg+lalXqHc8pQ==" saltValue="3zHBQZKTWmkgGlKzeO4ObQ==" spinCount="100000" sheet="1" objects="1" scenarios="1"/>
  <mergeCells count="1">
    <mergeCell ref="A22:I30"/>
  </mergeCell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r:uid="{FADCEA0D-CD4F-4AF0-9037-1BE32D910F98}">
          <x14:formula1>
            <xm:f>'Data DV'!$A$5:$A$235</xm:f>
          </x14:formula1>
          <xm:sqref>B6</xm:sqref>
        </x14:dataValidation>
        <x14:dataValidation type="list" allowBlank="1" showInputMessage="1" showErrorMessage="1" xr:uid="{526B81A1-9CD9-45EF-8B70-90219D25D5BF}">
          <x14:formula1>
            <xm:f>'Data SPV trans'!$A$6:$A$105</xm:f>
          </x14:formula1>
          <xm:sqref>B8</xm:sqref>
        </x14:dataValidation>
        <x14:dataValidation type="list" allowBlank="1" showInputMessage="1" showErrorMessage="1" xr:uid="{603ACAC3-17C9-4C08-9BA9-A9D75D282762}">
          <x14:formula1>
            <xm:f>'Data SPV trans'!$A$5:$A$105</xm:f>
          </x14:formula1>
          <xm:sqref>B7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8AC5F9-C651-4ED1-808A-819C4E2197C6}">
  <sheetPr codeName="Sheet3">
    <tabColor rgb="FF9BAC96"/>
  </sheetPr>
  <dimension ref="A1:M36"/>
  <sheetViews>
    <sheetView showGridLines="0" workbookViewId="0">
      <selection activeCell="G22" sqref="G22"/>
    </sheetView>
  </sheetViews>
  <sheetFormatPr defaultRowHeight="14.5" x14ac:dyDescent="0.35"/>
  <cols>
    <col min="1" max="1" width="6.26953125" customWidth="1"/>
    <col min="2" max="2" width="62.54296875" customWidth="1"/>
    <col min="7" max="7" width="11.7265625" customWidth="1"/>
    <col min="9" max="9" width="19.7265625" customWidth="1"/>
    <col min="13" max="13" width="9.26953125" bestFit="1" customWidth="1"/>
  </cols>
  <sheetData>
    <row r="1" spans="1:13" ht="32" x14ac:dyDescent="0.35">
      <c r="A1" s="334" t="s">
        <v>12</v>
      </c>
    </row>
    <row r="2" spans="1:13" ht="21" x14ac:dyDescent="0.5">
      <c r="A2" s="340"/>
    </row>
    <row r="4" spans="1:13" ht="19.899999999999999" customHeight="1" x14ac:dyDescent="0.35">
      <c r="A4" s="341" t="s">
        <v>13</v>
      </c>
    </row>
    <row r="5" spans="1:13" ht="19.899999999999999" customHeight="1" x14ac:dyDescent="0.35">
      <c r="A5" s="342" t="s">
        <v>1354</v>
      </c>
      <c r="M5" s="7"/>
    </row>
    <row r="6" spans="1:13" ht="19.899999999999999" customHeight="1" x14ac:dyDescent="0.35">
      <c r="A6" s="343"/>
      <c r="B6" s="101" t="s">
        <v>15</v>
      </c>
      <c r="E6" s="344" t="s">
        <v>14</v>
      </c>
      <c r="J6" s="345" t="s">
        <v>15</v>
      </c>
      <c r="M6" s="7"/>
    </row>
    <row r="7" spans="1:13" ht="19.899999999999999" customHeight="1" x14ac:dyDescent="0.35">
      <c r="A7" s="343"/>
      <c r="E7" s="345"/>
      <c r="J7" s="345" t="s">
        <v>16</v>
      </c>
    </row>
    <row r="8" spans="1:13" ht="19.899999999999999" customHeight="1" x14ac:dyDescent="0.35">
      <c r="A8" s="343"/>
      <c r="E8" s="345"/>
      <c r="J8" s="345" t="s">
        <v>17</v>
      </c>
    </row>
    <row r="9" spans="1:13" ht="19.899999999999999" customHeight="1" x14ac:dyDescent="0.35">
      <c r="A9" s="342" t="s">
        <v>1199</v>
      </c>
      <c r="E9" s="346"/>
      <c r="J9" s="345" t="s">
        <v>18</v>
      </c>
    </row>
    <row r="10" spans="1:13" ht="19.899999999999999" customHeight="1" x14ac:dyDescent="0.35">
      <c r="B10" s="836"/>
      <c r="E10" s="347" t="s">
        <v>19</v>
      </c>
      <c r="J10" s="345" t="s">
        <v>20</v>
      </c>
    </row>
    <row r="11" spans="1:13" ht="19.899999999999999" customHeight="1" x14ac:dyDescent="0.35">
      <c r="A11" s="342" t="s">
        <v>21</v>
      </c>
      <c r="E11" s="346"/>
      <c r="J11" s="7"/>
    </row>
    <row r="12" spans="1:13" ht="19.899999999999999" customHeight="1" x14ac:dyDescent="0.35">
      <c r="A12" s="342"/>
      <c r="B12" s="836"/>
      <c r="E12" s="347" t="s">
        <v>22</v>
      </c>
      <c r="J12" s="7"/>
    </row>
    <row r="13" spans="1:13" ht="19.899999999999999" customHeight="1" x14ac:dyDescent="0.35"/>
    <row r="14" spans="1:13" ht="19.899999999999999" customHeight="1" x14ac:dyDescent="0.35">
      <c r="A14" t="s">
        <v>1311</v>
      </c>
      <c r="C14" s="7"/>
      <c r="J14" s="7"/>
    </row>
    <row r="15" spans="1:13" ht="19.899999999999999" customHeight="1" x14ac:dyDescent="0.35">
      <c r="B15" s="901"/>
      <c r="C15" s="901"/>
      <c r="D15" s="901"/>
      <c r="E15" s="7" t="s">
        <v>1159</v>
      </c>
      <c r="J15" s="347"/>
    </row>
    <row r="16" spans="1:13" ht="19.899999999999999" customHeight="1" x14ac:dyDescent="0.35">
      <c r="B16" s="901"/>
      <c r="C16" s="901"/>
      <c r="D16" s="901"/>
      <c r="J16" s="7"/>
    </row>
    <row r="17" spans="1:10" ht="19.899999999999999" customHeight="1" x14ac:dyDescent="0.35">
      <c r="B17" s="901"/>
      <c r="C17" s="901"/>
      <c r="D17" s="901"/>
      <c r="J17" s="347"/>
    </row>
    <row r="18" spans="1:10" ht="19.899999999999999" customHeight="1" x14ac:dyDescent="0.35">
      <c r="J18" s="7"/>
    </row>
    <row r="19" spans="1:10" ht="19.899999999999999" customHeight="1" x14ac:dyDescent="0.35">
      <c r="J19" s="345" t="s">
        <v>15</v>
      </c>
    </row>
    <row r="20" spans="1:10" ht="19.899999999999999" customHeight="1" x14ac:dyDescent="0.35">
      <c r="A20" s="348" t="s">
        <v>23</v>
      </c>
      <c r="C20" s="346"/>
      <c r="J20" s="345" t="s">
        <v>16</v>
      </c>
    </row>
    <row r="21" spans="1:10" ht="19.899999999999999" customHeight="1" x14ac:dyDescent="0.35">
      <c r="A21" s="342" t="s">
        <v>1527</v>
      </c>
      <c r="C21" s="346"/>
      <c r="J21" s="345" t="s">
        <v>17</v>
      </c>
    </row>
    <row r="22" spans="1:10" ht="19.899999999999999" customHeight="1" x14ac:dyDescent="0.35">
      <c r="A22" s="343"/>
      <c r="B22" s="101" t="s">
        <v>17</v>
      </c>
      <c r="E22" s="344" t="s">
        <v>24</v>
      </c>
      <c r="J22" s="345" t="s">
        <v>18</v>
      </c>
    </row>
    <row r="23" spans="1:10" ht="19.899999999999999" customHeight="1" x14ac:dyDescent="0.35">
      <c r="A23" s="343"/>
      <c r="E23" s="7"/>
      <c r="J23" s="345" t="s">
        <v>20</v>
      </c>
    </row>
    <row r="24" spans="1:10" ht="19.899999999999999" customHeight="1" x14ac:dyDescent="0.35">
      <c r="A24" s="343"/>
      <c r="E24" s="7"/>
      <c r="J24" s="344"/>
    </row>
    <row r="25" spans="1:10" ht="19.899999999999999" customHeight="1" x14ac:dyDescent="0.35">
      <c r="A25" s="342" t="s">
        <v>1200</v>
      </c>
      <c r="E25" s="346"/>
      <c r="J25" s="344"/>
    </row>
    <row r="26" spans="1:10" ht="19.899999999999999" customHeight="1" x14ac:dyDescent="0.35">
      <c r="B26" s="836"/>
      <c r="E26" s="347" t="s">
        <v>25</v>
      </c>
      <c r="J26" s="344"/>
    </row>
    <row r="27" spans="1:10" ht="19.899999999999999" customHeight="1" x14ac:dyDescent="0.35">
      <c r="A27" s="342" t="s">
        <v>26</v>
      </c>
      <c r="E27" s="346"/>
    </row>
    <row r="28" spans="1:10" ht="19.899999999999999" customHeight="1" x14ac:dyDescent="0.35">
      <c r="B28" s="836"/>
      <c r="E28" s="347" t="s">
        <v>27</v>
      </c>
    </row>
    <row r="29" spans="1:10" ht="19.899999999999999" customHeight="1" x14ac:dyDescent="0.35">
      <c r="A29" s="342" t="s">
        <v>1524</v>
      </c>
      <c r="E29" s="346"/>
    </row>
    <row r="30" spans="1:10" ht="19.899999999999999" customHeight="1" x14ac:dyDescent="0.35">
      <c r="B30" s="837"/>
      <c r="E30" s="347" t="s">
        <v>28</v>
      </c>
      <c r="J30" s="342"/>
    </row>
    <row r="31" spans="1:10" ht="19.899999999999999" customHeight="1" x14ac:dyDescent="0.35">
      <c r="A31" s="350"/>
      <c r="C31" s="351"/>
    </row>
    <row r="32" spans="1:10" ht="19.899999999999999" customHeight="1" x14ac:dyDescent="0.35">
      <c r="A32" t="s">
        <v>1312</v>
      </c>
      <c r="J32" s="342"/>
    </row>
    <row r="33" spans="2:10" ht="19.899999999999999" customHeight="1" x14ac:dyDescent="0.35">
      <c r="B33" s="901"/>
      <c r="C33" s="901"/>
      <c r="D33" s="901"/>
      <c r="E33" s="7" t="s">
        <v>1160</v>
      </c>
      <c r="J33" s="342"/>
    </row>
    <row r="34" spans="2:10" ht="19.899999999999999" customHeight="1" x14ac:dyDescent="0.35">
      <c r="B34" s="901"/>
      <c r="C34" s="901"/>
      <c r="D34" s="901"/>
    </row>
    <row r="35" spans="2:10" ht="19.899999999999999" customHeight="1" x14ac:dyDescent="0.35">
      <c r="B35" s="901"/>
      <c r="C35" s="901"/>
      <c r="D35" s="901"/>
    </row>
    <row r="36" spans="2:10" ht="19.899999999999999" customHeight="1" x14ac:dyDescent="0.35"/>
  </sheetData>
  <sheetProtection algorithmName="SHA-512" hashValue="1aUib+Go5J3DpoG1cVz6AkzFdSMstvFfHB73K6dlcTmk9vMDJfVeaLPeo7CoBowuxNUTVCvaLoe9iS0mJ+6kTw==" saltValue="fpTwny3gqBZFVVrnynSnTg==" spinCount="100000" sheet="1" objects="1" scenarios="1"/>
  <mergeCells count="2">
    <mergeCell ref="B33:D35"/>
    <mergeCell ref="B15:D17"/>
  </mergeCells>
  <dataValidations count="3">
    <dataValidation type="list" allowBlank="1" showInputMessage="1" showErrorMessage="1" sqref="B6" xr:uid="{8F92FBEA-8098-4EF9-8194-B24D0B498CE7}">
      <formula1>$J$6:$J$10</formula1>
    </dataValidation>
    <dataValidation type="list" allowBlank="1" showInputMessage="1" showErrorMessage="1" sqref="B22" xr:uid="{8716981B-3EA6-413F-911D-DB2EA3E722DD}">
      <formula1>$J$19:$J$23</formula1>
    </dataValidation>
    <dataValidation type="whole" errorStyle="information" allowBlank="1" showInputMessage="1" showErrorMessage="1" error="Insæt helt årstal" sqref="B10 B12 B28 B26" xr:uid="{143BEDE2-FDFA-45D7-8AA2-F5403F016503}">
      <formula1>1900</formula1>
      <formula2>2200</formula2>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C5757-5080-44FD-9C74-80BA7D122F21}">
  <sheetPr codeName="Sheet4">
    <tabColor rgb="FF9BAC96"/>
    <pageSetUpPr fitToPage="1"/>
  </sheetPr>
  <dimension ref="A1:AD170"/>
  <sheetViews>
    <sheetView showGridLines="0" topLeftCell="B9" zoomScale="50" zoomScaleNormal="50" workbookViewId="0">
      <selection activeCell="J32" sqref="J32"/>
    </sheetView>
  </sheetViews>
  <sheetFormatPr defaultRowHeight="14.5" x14ac:dyDescent="0.35"/>
  <cols>
    <col min="1" max="1" width="9.1796875" customWidth="1"/>
    <col min="2" max="2" width="32.54296875" customWidth="1"/>
    <col min="3" max="3" width="33.7265625" customWidth="1"/>
    <col min="4" max="4" width="77" customWidth="1"/>
    <col min="5" max="14" width="15.7265625" customWidth="1"/>
    <col min="15" max="15" width="34.26953125" customWidth="1"/>
    <col min="16" max="17" width="14" customWidth="1"/>
    <col min="18" max="18" width="11.81640625" bestFit="1" customWidth="1"/>
    <col min="19" max="19" width="11.1796875" bestFit="1" customWidth="1"/>
    <col min="20" max="22" width="10" customWidth="1"/>
    <col min="23" max="23" width="13.1796875" customWidth="1"/>
    <col min="24" max="26" width="13.1796875" hidden="1" customWidth="1"/>
    <col min="27" max="27" width="13.1796875" customWidth="1"/>
    <col min="30" max="30" width="9.81640625" customWidth="1"/>
  </cols>
  <sheetData>
    <row r="1" spans="1:18" ht="32" x14ac:dyDescent="0.7">
      <c r="A1" s="116" t="s">
        <v>29</v>
      </c>
      <c r="F1" s="117"/>
    </row>
    <row r="2" spans="1:18" ht="32" x14ac:dyDescent="0.7">
      <c r="A2" s="118" t="s">
        <v>30</v>
      </c>
      <c r="C2" s="118" t="str">
        <f>Basisoplysninger!B6</f>
        <v>Vælg selskab (dropdown)</v>
      </c>
      <c r="F2" s="119"/>
      <c r="Q2" s="118"/>
      <c r="R2" s="119"/>
    </row>
    <row r="3" spans="1:18" ht="40.15" customHeight="1" x14ac:dyDescent="0.35">
      <c r="B3" s="7" t="e">
        <f>INDEX(rDV!A10:A242,MATCH(Drikkevand!C2,rDV!B10:B242,0))</f>
        <v>#N/A</v>
      </c>
    </row>
    <row r="4" spans="1:18" ht="40.15" customHeight="1" x14ac:dyDescent="0.35">
      <c r="F4" s="3"/>
    </row>
    <row r="5" spans="1:18" ht="40.15" customHeight="1" x14ac:dyDescent="0.35"/>
    <row r="6" spans="1:18" ht="40.15" customHeight="1" x14ac:dyDescent="0.35"/>
    <row r="7" spans="1:18" ht="40.15" customHeight="1" x14ac:dyDescent="0.35"/>
    <row r="8" spans="1:18" ht="40.15" customHeight="1" x14ac:dyDescent="0.35"/>
    <row r="9" spans="1:18" ht="40.15" customHeight="1" x14ac:dyDescent="0.35"/>
    <row r="10" spans="1:18" ht="40.15" customHeight="1" x14ac:dyDescent="0.35"/>
    <row r="11" spans="1:18" ht="40.15" customHeight="1" x14ac:dyDescent="0.35"/>
    <row r="12" spans="1:18" ht="40.15" customHeight="1" x14ac:dyDescent="0.35"/>
    <row r="13" spans="1:18" ht="40.15" customHeight="1" x14ac:dyDescent="0.35"/>
    <row r="14" spans="1:18" ht="40.15" customHeight="1" x14ac:dyDescent="0.35"/>
    <row r="15" spans="1:18" ht="40.15" customHeight="1" x14ac:dyDescent="0.35"/>
    <row r="16" spans="1:18" ht="40.15" customHeight="1" x14ac:dyDescent="0.35"/>
    <row r="17" spans="1:30" ht="45" customHeight="1" x14ac:dyDescent="0.5">
      <c r="B17" s="359" t="s">
        <v>1283</v>
      </c>
      <c r="C17" s="360"/>
      <c r="D17" s="360"/>
      <c r="E17" s="360"/>
      <c r="F17" s="360"/>
      <c r="G17" s="360"/>
      <c r="H17" s="360"/>
      <c r="I17" s="360"/>
      <c r="J17" s="360"/>
      <c r="K17" s="360"/>
      <c r="L17" s="360"/>
      <c r="M17" s="360"/>
      <c r="N17" s="360"/>
      <c r="O17" s="360"/>
      <c r="P17" s="360"/>
      <c r="R17" s="361"/>
      <c r="S17" s="361"/>
      <c r="T17" s="361"/>
      <c r="U17" s="361"/>
      <c r="V17" s="361"/>
      <c r="W17" s="361"/>
      <c r="X17" s="361"/>
    </row>
    <row r="18" spans="1:30" ht="45" customHeight="1" thickBot="1" x14ac:dyDescent="0.4">
      <c r="AD18" s="336"/>
    </row>
    <row r="19" spans="1:30" ht="45" customHeight="1" thickBot="1" x14ac:dyDescent="0.55000000000000004">
      <c r="C19" s="362" t="s">
        <v>1284</v>
      </c>
      <c r="D19" s="363"/>
      <c r="E19" s="364"/>
      <c r="F19" s="364"/>
      <c r="G19" s="364"/>
      <c r="H19" s="364"/>
      <c r="I19" s="364"/>
      <c r="J19" s="364"/>
      <c r="K19" s="364"/>
      <c r="L19" s="365"/>
      <c r="M19" s="365"/>
      <c r="N19" s="121"/>
      <c r="O19" s="366"/>
    </row>
    <row r="20" spans="1:30" ht="45" customHeight="1" x14ac:dyDescent="0.35">
      <c r="C20" s="902" t="s">
        <v>1285</v>
      </c>
      <c r="D20" s="903"/>
      <c r="E20" s="904"/>
      <c r="F20" s="367" t="s">
        <v>32</v>
      </c>
      <c r="G20" s="368"/>
      <c r="H20" s="369" t="s">
        <v>33</v>
      </c>
      <c r="I20" s="370"/>
      <c r="J20" s="908" t="s">
        <v>34</v>
      </c>
      <c r="K20" s="909"/>
      <c r="L20" s="909"/>
      <c r="M20" s="909"/>
      <c r="N20" s="910"/>
      <c r="O20" s="371"/>
    </row>
    <row r="21" spans="1:30" ht="45" customHeight="1" x14ac:dyDescent="0.35">
      <c r="C21" s="905" t="s">
        <v>1287</v>
      </c>
      <c r="D21" s="906"/>
      <c r="E21" s="907"/>
      <c r="F21" s="372">
        <v>2023</v>
      </c>
      <c r="G21" s="372">
        <v>2025</v>
      </c>
      <c r="H21" s="372">
        <f t="shared" ref="H21" si="0">G21+5</f>
        <v>2030</v>
      </c>
      <c r="I21" s="373">
        <f t="shared" ref="I21" si="1">H21+5</f>
        <v>2035</v>
      </c>
      <c r="J21" s="374">
        <v>2023</v>
      </c>
      <c r="K21" s="375">
        <v>2025</v>
      </c>
      <c r="L21" s="375">
        <v>2030</v>
      </c>
      <c r="M21" s="375">
        <v>2035</v>
      </c>
      <c r="N21" s="376" t="s">
        <v>35</v>
      </c>
      <c r="O21" s="377" t="s">
        <v>36</v>
      </c>
    </row>
    <row r="22" spans="1:30" ht="45" customHeight="1" thickBot="1" x14ac:dyDescent="0.4">
      <c r="C22" s="378" t="s">
        <v>1286</v>
      </c>
      <c r="D22" s="379" t="s">
        <v>1355</v>
      </c>
      <c r="E22" s="380" t="s">
        <v>70</v>
      </c>
      <c r="F22" s="245" t="str">
        <f>IFERROR(INDEX('Data DV'!I6:I235,MATCH(C2,'Data DV'!A6:A235,0)),"")</f>
        <v/>
      </c>
      <c r="G22" s="352"/>
      <c r="H22" s="352"/>
      <c r="I22" s="353"/>
      <c r="J22" s="911" t="s">
        <v>1291</v>
      </c>
      <c r="K22" s="912"/>
      <c r="L22" s="912"/>
      <c r="M22" s="912"/>
      <c r="N22" s="913"/>
      <c r="O22" s="706"/>
    </row>
    <row r="23" spans="1:30" s="120" customFormat="1" ht="45" customHeight="1" x14ac:dyDescent="0.35">
      <c r="R23"/>
    </row>
    <row r="24" spans="1:30" ht="45" customHeight="1" x14ac:dyDescent="0.5">
      <c r="B24" s="359"/>
      <c r="C24" s="360"/>
      <c r="D24" s="360"/>
      <c r="E24" s="360"/>
      <c r="F24" s="360"/>
      <c r="G24" s="360"/>
      <c r="H24" s="360"/>
      <c r="I24" s="360"/>
      <c r="J24" s="360"/>
      <c r="K24" s="360"/>
      <c r="L24" s="360"/>
      <c r="M24" s="360"/>
      <c r="N24" s="360"/>
      <c r="O24" s="360"/>
      <c r="P24" s="360"/>
    </row>
    <row r="25" spans="1:30" ht="45" customHeight="1" x14ac:dyDescent="0.35">
      <c r="R25" s="120"/>
    </row>
    <row r="26" spans="1:30" ht="45" customHeight="1" x14ac:dyDescent="0.5">
      <c r="B26" s="381" t="s">
        <v>1429</v>
      </c>
      <c r="C26" s="382"/>
      <c r="D26" s="382"/>
      <c r="E26" s="382"/>
      <c r="F26" s="382"/>
      <c r="G26" s="382"/>
      <c r="H26" s="382"/>
      <c r="I26" s="382"/>
      <c r="J26" s="382"/>
      <c r="K26" s="382"/>
      <c r="L26" s="382"/>
      <c r="M26" s="382"/>
      <c r="N26" s="382"/>
      <c r="O26" s="382"/>
      <c r="P26" s="382"/>
      <c r="Q26" s="361"/>
    </row>
    <row r="27" spans="1:30" ht="45" customHeight="1" thickBot="1" x14ac:dyDescent="0.4">
      <c r="J27" s="120"/>
      <c r="K27" s="120"/>
      <c r="L27" s="120"/>
      <c r="M27" s="120"/>
    </row>
    <row r="28" spans="1:30" ht="45" customHeight="1" thickBot="1" x14ac:dyDescent="0.55000000000000004">
      <c r="B28" s="383"/>
      <c r="C28" s="362" t="s">
        <v>31</v>
      </c>
      <c r="D28" s="363"/>
      <c r="E28" s="364"/>
      <c r="F28" s="364"/>
      <c r="G28" s="364"/>
      <c r="H28" s="364"/>
      <c r="I28" s="364"/>
      <c r="J28" s="364"/>
      <c r="K28" s="364"/>
      <c r="L28" s="365"/>
      <c r="M28" s="365"/>
      <c r="N28" s="121"/>
      <c r="O28" s="366" t="s">
        <v>1417</v>
      </c>
    </row>
    <row r="29" spans="1:30" ht="45" customHeight="1" x14ac:dyDescent="0.35">
      <c r="B29" s="383"/>
      <c r="C29" s="902" t="s">
        <v>1350</v>
      </c>
      <c r="D29" s="903"/>
      <c r="E29" s="904"/>
      <c r="F29" s="367" t="s">
        <v>32</v>
      </c>
      <c r="G29" s="368"/>
      <c r="H29" s="369" t="s">
        <v>33</v>
      </c>
      <c r="I29" s="370"/>
      <c r="J29" s="908" t="s">
        <v>34</v>
      </c>
      <c r="K29" s="909"/>
      <c r="L29" s="909"/>
      <c r="M29" s="909"/>
      <c r="N29" s="910"/>
      <c r="O29" s="371"/>
    </row>
    <row r="30" spans="1:30" ht="45" customHeight="1" x14ac:dyDescent="0.35">
      <c r="A30" s="3"/>
      <c r="B30" s="383"/>
      <c r="C30" s="905" t="s">
        <v>1181</v>
      </c>
      <c r="D30" s="906"/>
      <c r="E30" s="907"/>
      <c r="F30" s="372">
        <v>2023</v>
      </c>
      <c r="G30" s="372">
        <v>2025</v>
      </c>
      <c r="H30" s="372">
        <f t="shared" ref="H30" si="2">G30+5</f>
        <v>2030</v>
      </c>
      <c r="I30" s="373">
        <f t="shared" ref="I30" si="3">H30+5</f>
        <v>2035</v>
      </c>
      <c r="J30" s="374">
        <v>2023</v>
      </c>
      <c r="K30" s="375">
        <v>2025</v>
      </c>
      <c r="L30" s="375">
        <v>2030</v>
      </c>
      <c r="M30" s="375">
        <v>2035</v>
      </c>
      <c r="N30" s="376" t="s">
        <v>35</v>
      </c>
      <c r="O30" s="377" t="s">
        <v>36</v>
      </c>
    </row>
    <row r="31" spans="1:30" ht="45" customHeight="1" x14ac:dyDescent="0.35">
      <c r="A31" s="3"/>
      <c r="B31" s="711" t="str">
        <f>IF(F31=SUM(F32:F33,F35:F36,F37,F39:F41),"","OBS! Samlet sum af købt brændsel/varme 2023 stemmer ikke overens med underkategorierne")</f>
        <v/>
      </c>
      <c r="C31" s="384" t="s">
        <v>37</v>
      </c>
      <c r="D31" s="385" t="s">
        <v>38</v>
      </c>
      <c r="E31" s="385" t="s">
        <v>39</v>
      </c>
      <c r="F31" s="240">
        <f>IF(ISNUMBER(INDEX('Data DV'!$D$6:$D$240,MATCH(Drikkevand!$C$2,'Data DV'!$A$6:$A$240,0))),INDEX('Data DV'!$D$6:$D$240,MATCH(Drikkevand!$C$2,'Data DV'!$A$6:$A$240,0)),0)</f>
        <v>0</v>
      </c>
      <c r="G31" s="227">
        <f>SUM(G32:G34,G37,G38)</f>
        <v>0</v>
      </c>
      <c r="H31" s="227">
        <f>SUM(H32:H34,H37,H38)</f>
        <v>0</v>
      </c>
      <c r="I31" s="713">
        <f>SUM(I32:I34,I37,I38)</f>
        <v>0</v>
      </c>
      <c r="J31" s="386"/>
      <c r="K31" s="918" t="s">
        <v>1358</v>
      </c>
      <c r="L31" s="918"/>
      <c r="M31" s="918"/>
      <c r="N31" s="387"/>
      <c r="O31" s="707"/>
    </row>
    <row r="32" spans="1:30" ht="45" customHeight="1" x14ac:dyDescent="0.35">
      <c r="A32" s="388"/>
      <c r="B32" s="389"/>
      <c r="C32" s="390" t="s">
        <v>40</v>
      </c>
      <c r="D32" s="385" t="s">
        <v>41</v>
      </c>
      <c r="E32" s="385" t="s">
        <v>39</v>
      </c>
      <c r="F32" s="240">
        <f>IF(ISNUMBER(INDEX('Data DV'!$J$6:$J$240,MATCH(Drikkevand!$C$2,'Data DV'!$A$6:$A$240,0))),INDEX('Data DV'!$J$6:$J$240,MATCH(Drikkevand!$C$2,'Data DV'!$A$6:$A$240,0)),0)</f>
        <v>0</v>
      </c>
      <c r="G32" s="714"/>
      <c r="H32" s="714"/>
      <c r="I32" s="715"/>
      <c r="J32" s="212" t="s">
        <v>1528</v>
      </c>
      <c r="K32" s="391">
        <f>IF(AND(ISNUMBER($J$32),J32&gt;0),$J$32*EF!E53/EF!C53,EF!E53)</f>
        <v>3.6957164362437726E-2</v>
      </c>
      <c r="L32" s="391">
        <f>IF(AND(ISNUMBER($J$32),J32&gt;0),$J$32*EF!G53/EF!C53,EF!G53)</f>
        <v>1.8894210049639697E-2</v>
      </c>
      <c r="M32" s="391">
        <f>IF(AND(ISNUMBER($J$32),J32&gt;0),$J$32*EF!I53/EF!C53,EF!I53)</f>
        <v>1.1739632740217762E-2</v>
      </c>
      <c r="N32" s="392" t="s">
        <v>42</v>
      </c>
      <c r="O32" s="707" t="s">
        <v>1361</v>
      </c>
      <c r="P32" s="120"/>
      <c r="Q32" s="120"/>
    </row>
    <row r="33" spans="1:27" ht="45" customHeight="1" x14ac:dyDescent="0.35">
      <c r="A33" s="3"/>
      <c r="B33" s="393" t="s">
        <v>43</v>
      </c>
      <c r="C33" s="394" t="s">
        <v>44</v>
      </c>
      <c r="D33" s="385" t="s">
        <v>1481</v>
      </c>
      <c r="E33" s="395" t="s">
        <v>39</v>
      </c>
      <c r="F33" s="240">
        <f>IF(ISNUMBER(INDEX('Data DV'!$K$6:$K$240,MATCH(Drikkevand!$C$2,'Data DV'!$A$6:$A$240,0))),INDEX('Data DV'!$K$6:$K$240,MATCH(Drikkevand!$C$2,'Data DV'!$A$6:$A$240,0)),0)</f>
        <v>0</v>
      </c>
      <c r="G33" s="716"/>
      <c r="H33" s="716"/>
      <c r="I33" s="717"/>
      <c r="J33" s="396">
        <f>IFERROR(INDEX(EF!$C$40:$C$49,MATCH("Naturgas",EF!$A$40:$A$49,0)),"")</f>
        <v>0.11291822816432782</v>
      </c>
      <c r="K33" s="397">
        <f>IFERROR(INDEX(EF!$E$40:$E$49,MATCH("Naturgas",EF!$A$40:$A$49,0)),"")</f>
        <v>9.2578966619212236E-2</v>
      </c>
      <c r="L33" s="397">
        <f>IFERROR(INDEX(EF!$G$40:$G$49,MATCH("Naturgas",EF!$A$40:$A$49,0)),"")</f>
        <v>1.2777777777777776E-4</v>
      </c>
      <c r="M33" s="397">
        <f>IFERROR(INDEX(EF!$I$40:$I$49,MATCH("Naturgas",EF!$A$40:$A$49,0)),"")</f>
        <v>1.2777777777777776E-4</v>
      </c>
      <c r="N33" s="392" t="s">
        <v>42</v>
      </c>
      <c r="O33" s="707"/>
    </row>
    <row r="34" spans="1:27" ht="45" customHeight="1" x14ac:dyDescent="0.35">
      <c r="A34" s="3"/>
      <c r="B34" s="393" t="s">
        <v>46</v>
      </c>
      <c r="C34" s="394" t="s">
        <v>47</v>
      </c>
      <c r="D34" s="385" t="s">
        <v>1513</v>
      </c>
      <c r="E34" s="395" t="s">
        <v>39</v>
      </c>
      <c r="F34" s="712">
        <f>IF(ISNUMBER(INDEX('Data DV'!$L$6:$L$240,MATCH(Drikkevand!$C$2,'Data DV'!$A$6:$A$240,0))),INDEX('Data DV'!$L$6:$L$240,MATCH(Drikkevand!$C$2,'Data DV'!$A$6:$A$240,0)),SUM(F35:F36))</f>
        <v>0</v>
      </c>
      <c r="G34" s="227">
        <f>SUM(G35:G36)</f>
        <v>0</v>
      </c>
      <c r="H34" s="227">
        <f>SUM(H35:H36)</f>
        <v>0</v>
      </c>
      <c r="I34" s="713">
        <f>SUM(I35:I36)</f>
        <v>0</v>
      </c>
      <c r="J34" s="919" t="s">
        <v>1358</v>
      </c>
      <c r="K34" s="920"/>
      <c r="L34" s="920"/>
      <c r="M34" s="920"/>
      <c r="N34" s="921"/>
      <c r="O34" s="707"/>
    </row>
    <row r="35" spans="1:27" ht="45" customHeight="1" x14ac:dyDescent="0.35">
      <c r="B35" s="398" t="s">
        <v>48</v>
      </c>
      <c r="C35" s="399" t="s">
        <v>49</v>
      </c>
      <c r="D35" s="400" t="s">
        <v>1482</v>
      </c>
      <c r="E35" s="385" t="s">
        <v>39</v>
      </c>
      <c r="F35" s="714"/>
      <c r="G35" s="714"/>
      <c r="H35" s="714"/>
      <c r="I35" s="715"/>
      <c r="J35" s="396">
        <f>IFERROR(INDEX(EF!$C$40:$C$49,MATCH("Fyringsolie (gasolie)",EF!$A$40:$A$49,0)),"")</f>
        <v>0.26624334440826636</v>
      </c>
      <c r="K35" s="397">
        <f>IFERROR(INDEX(EF!$E$40:$E$49,MATCH("Fyringsolie (gasolie)",EF!$A$40:$A$49,0)),"")</f>
        <v>0.26633663366336635</v>
      </c>
      <c r="L35" s="397">
        <f>IFERROR(INDEX(EF!$G$40:$G$49,MATCH("Fyringsolie (gasolie)",EF!$A$40:$A$49,0)),"")</f>
        <v>0.26633663366336635</v>
      </c>
      <c r="M35" s="397">
        <f>IFERROR(INDEX(EF!$I$40:$I$49,MATCH("Fyringsolie (gasolie)",EF!$A$40:$A$49,0)),"")</f>
        <v>0.26633663366336635</v>
      </c>
      <c r="N35" s="392" t="s">
        <v>42</v>
      </c>
      <c r="O35" s="707"/>
      <c r="S35" s="383"/>
      <c r="T35" s="383"/>
      <c r="U35" s="383"/>
      <c r="V35" s="383"/>
      <c r="W35" s="383"/>
      <c r="X35" s="383"/>
      <c r="Y35" s="383"/>
      <c r="Z35" s="383"/>
      <c r="AA35" s="383"/>
    </row>
    <row r="36" spans="1:27" ht="45" customHeight="1" x14ac:dyDescent="0.35">
      <c r="B36" s="7" t="s">
        <v>247</v>
      </c>
      <c r="C36" s="399" t="s">
        <v>1165</v>
      </c>
      <c r="D36" s="400" t="s">
        <v>1483</v>
      </c>
      <c r="E36" s="401" t="s">
        <v>39</v>
      </c>
      <c r="F36" s="718"/>
      <c r="G36" s="718"/>
      <c r="H36" s="718"/>
      <c r="I36" s="719"/>
      <c r="J36" s="396">
        <f>IFERROR(INDEX(EF!$C$40:$C$49,MATCH("Fuelolie",EF!$A$40:$A$49,0)),0)</f>
        <v>0.28474081914867888</v>
      </c>
      <c r="K36" s="397">
        <f>IFERROR(INDEX(EF!$C$40:$C$49,MATCH("Fuelolie",EF!$A$40:$A$49,0)),0)</f>
        <v>0.28474081914867888</v>
      </c>
      <c r="L36" s="397">
        <f>IFERROR(INDEX(EF!$C$40:$C$49,MATCH("Fuelolie",EF!$A$40:$A$49,0)),0)</f>
        <v>0.28474081914867888</v>
      </c>
      <c r="M36" s="402">
        <f>IFERROR(INDEX(EF!$C$40:$C$49,MATCH("Fuelolie",EF!$A$40:$A$49,0)),0)</f>
        <v>0.28474081914867888</v>
      </c>
      <c r="N36" s="392" t="s">
        <v>42</v>
      </c>
      <c r="O36" s="707"/>
      <c r="S36" s="383"/>
      <c r="T36" s="383"/>
      <c r="U36" s="383"/>
      <c r="V36" s="383"/>
      <c r="W36" s="383"/>
      <c r="X36" s="383"/>
      <c r="Y36" s="383"/>
      <c r="Z36" s="383"/>
      <c r="AA36" s="383"/>
    </row>
    <row r="37" spans="1:27" ht="45" customHeight="1" x14ac:dyDescent="0.35">
      <c r="B37" s="7"/>
      <c r="C37" s="390" t="s">
        <v>52</v>
      </c>
      <c r="D37" s="385" t="s">
        <v>53</v>
      </c>
      <c r="E37" s="395" t="s">
        <v>39</v>
      </c>
      <c r="F37" s="240">
        <f>IF(ISNUMBER(INDEX('Data DV'!$M$6:$M$240,MATCH(Drikkevand!$C$2,'Data DV'!$A$6:$A$240,0))),INDEX('Data DV'!$M$6:$M$240,MATCH(Drikkevand!$C$2,'Data DV'!$A$6:$A$240,0)),0)</f>
        <v>0</v>
      </c>
      <c r="G37" s="714"/>
      <c r="H37" s="714"/>
      <c r="I37" s="715"/>
      <c r="J37" s="212" t="s">
        <v>54</v>
      </c>
      <c r="K37" s="397">
        <f>IF(ISNUMBER(J37),J37,0)</f>
        <v>0</v>
      </c>
      <c r="L37" s="397">
        <f t="shared" ref="L37:M37" si="4">IF(ISNUMBER(K37),K37,"")</f>
        <v>0</v>
      </c>
      <c r="M37" s="402">
        <f t="shared" si="4"/>
        <v>0</v>
      </c>
      <c r="N37" s="392" t="s">
        <v>42</v>
      </c>
      <c r="O37" s="708" t="s">
        <v>55</v>
      </c>
      <c r="R37" s="383"/>
      <c r="S37" s="383"/>
      <c r="T37" s="383"/>
      <c r="U37" s="383"/>
      <c r="V37" s="383"/>
      <c r="W37" s="383"/>
      <c r="X37" s="383"/>
      <c r="Y37" s="383"/>
      <c r="Z37" s="383"/>
      <c r="AA37" s="383"/>
    </row>
    <row r="38" spans="1:27" ht="45" customHeight="1" x14ac:dyDescent="0.35">
      <c r="B38" s="7"/>
      <c r="C38" s="390" t="s">
        <v>56</v>
      </c>
      <c r="D38" s="400" t="s">
        <v>1514</v>
      </c>
      <c r="E38" s="395" t="s">
        <v>39</v>
      </c>
      <c r="F38" s="720">
        <f>IF(ISNUMBER(INDEX('Data DV'!$N$6:$N$240,MATCH(Drikkevand!$C$2,'Data DV'!$A$6:$A$240,0))),INDEX('Data DV'!$N$6:$N$240,MATCH(Drikkevand!$C$2,'Data DV'!$A$6:$A$240,0)),SUM(F39:F41))</f>
        <v>0</v>
      </c>
      <c r="G38" s="227">
        <f>SUM(G39:G41)</f>
        <v>0</v>
      </c>
      <c r="H38" s="227">
        <f t="shared" ref="H38:I38" si="5">SUM(H39:H41)</f>
        <v>0</v>
      </c>
      <c r="I38" s="713">
        <f t="shared" si="5"/>
        <v>0</v>
      </c>
      <c r="J38" s="919" t="s">
        <v>1358</v>
      </c>
      <c r="K38" s="920"/>
      <c r="L38" s="920"/>
      <c r="M38" s="920"/>
      <c r="N38" s="921"/>
      <c r="O38" s="709"/>
      <c r="R38" s="383"/>
      <c r="S38" s="383"/>
      <c r="T38" s="383"/>
      <c r="U38" s="383"/>
      <c r="V38" s="383"/>
      <c r="W38" s="383"/>
      <c r="X38" s="383"/>
      <c r="Y38" s="383"/>
      <c r="Z38" s="383"/>
      <c r="AA38" s="383"/>
    </row>
    <row r="39" spans="1:27" ht="45" customHeight="1" x14ac:dyDescent="0.35">
      <c r="B39" s="398" t="s">
        <v>57</v>
      </c>
      <c r="C39" s="399" t="s">
        <v>58</v>
      </c>
      <c r="D39" s="400" t="s">
        <v>1478</v>
      </c>
      <c r="E39" s="385" t="s">
        <v>39</v>
      </c>
      <c r="F39" s="714"/>
      <c r="G39" s="714"/>
      <c r="H39" s="714"/>
      <c r="I39" s="715"/>
      <c r="J39" s="396">
        <f>IFERROR(INDEX(EF!$C$40:$C$49,MATCH("Træpiller",EF!$A$40:$A$49,0)),"")</f>
        <v>4.2345679012345677E-3</v>
      </c>
      <c r="K39" s="397">
        <f>IFERROR(INDEX(EF!$E$40:$E$49,MATCH("Træpiller",EF!$A$40:$A$49,0)),"")</f>
        <v>4.2386831275720164E-3</v>
      </c>
      <c r="L39" s="397">
        <f>IFERROR(INDEX(EF!$G$40:$G$49,MATCH("Træpiller",EF!$A$40:$A$49,0)),"")</f>
        <v>4.2386831275720164E-3</v>
      </c>
      <c r="M39" s="397">
        <f>IFERROR(INDEX(EF!$I$40:$I$49,MATCH("Træpiller",EF!$A$40:$A$49,0)),"")</f>
        <v>4.2386831275720164E-3</v>
      </c>
      <c r="N39" s="392" t="s">
        <v>42</v>
      </c>
      <c r="O39" s="707"/>
      <c r="R39" s="383"/>
      <c r="S39" s="383"/>
      <c r="T39" s="383"/>
      <c r="U39" s="383"/>
      <c r="V39" s="383"/>
      <c r="W39" s="383"/>
      <c r="X39" s="383"/>
      <c r="Y39" s="383"/>
      <c r="Z39" s="383"/>
      <c r="AA39" s="383"/>
    </row>
    <row r="40" spans="1:27" ht="45" customHeight="1" x14ac:dyDescent="0.35">
      <c r="B40" s="398" t="s">
        <v>60</v>
      </c>
      <c r="C40" s="399" t="s">
        <v>61</v>
      </c>
      <c r="D40" s="400" t="s">
        <v>1479</v>
      </c>
      <c r="E40" s="395" t="s">
        <v>39</v>
      </c>
      <c r="F40" s="714"/>
      <c r="G40" s="714"/>
      <c r="H40" s="714"/>
      <c r="I40" s="715"/>
      <c r="J40" s="396">
        <f>IFERROR(INDEX(EF!$C$40:$C$49,MATCH("Træflis",EF!$A$40:$A$49,0)),"")</f>
        <v>6.4311591695501739E-3</v>
      </c>
      <c r="K40" s="397">
        <f>IFERROR(INDEX(EF!$E$40:$E$49,MATCH("Træflis",EF!$A$40:$A$49,0)),"")</f>
        <v>6.4359861591695502E-3</v>
      </c>
      <c r="L40" s="397">
        <f>IFERROR(INDEX(EF!$G$40:$G$49,MATCH("Træflis",EF!$A$40:$A$49,0)),"")</f>
        <v>6.4359861591695502E-3</v>
      </c>
      <c r="M40" s="397">
        <f>IFERROR(INDEX(EF!$I$40:$I$49,MATCH("Træflis",EF!$A$40:$A$49,0)),"")</f>
        <v>6.4359861591695502E-3</v>
      </c>
      <c r="N40" s="392" t="s">
        <v>42</v>
      </c>
      <c r="O40" s="707"/>
      <c r="R40" s="383"/>
      <c r="S40" s="383"/>
      <c r="T40" s="383"/>
      <c r="U40" s="383"/>
      <c r="V40" s="383"/>
      <c r="W40" s="383"/>
      <c r="X40" s="383"/>
      <c r="Y40" s="383"/>
      <c r="Z40" s="383"/>
      <c r="AA40" s="383"/>
    </row>
    <row r="41" spans="1:27" ht="45" customHeight="1" thickBot="1" x14ac:dyDescent="0.4">
      <c r="B41" s="398" t="s">
        <v>63</v>
      </c>
      <c r="C41" s="404" t="s">
        <v>64</v>
      </c>
      <c r="D41" s="405" t="s">
        <v>1480</v>
      </c>
      <c r="E41" s="380" t="s">
        <v>39</v>
      </c>
      <c r="F41" s="721"/>
      <c r="G41" s="721"/>
      <c r="H41" s="721"/>
      <c r="I41" s="722"/>
      <c r="J41" s="406">
        <f>IFERROR(INDEX(EF!$C$40:$C$49,MATCH(Drikkevand!$B41,EF!$A$40:$A$49,0)),"")</f>
        <v>6.951364764267989E-3</v>
      </c>
      <c r="K41" s="407">
        <f>IFERROR(INDEX(EF!$E$40:$E$49,MATCH("Halm",EF!$A$40:$A$49,0)),"")</f>
        <v>6.9478908188585599E-3</v>
      </c>
      <c r="L41" s="407">
        <f>IFERROR(INDEX(EF!$G$40:$G$49,MATCH("Halm",EF!$A$40:$A$49,0)),"")</f>
        <v>6.9478908188585599E-3</v>
      </c>
      <c r="M41" s="407">
        <f>IFERROR(INDEX(EF!$I$40:$I$49,MATCH("Halm",EF!$A$40:$A$49,0)),"")</f>
        <v>6.9478908188585599E-3</v>
      </c>
      <c r="N41" s="408" t="s">
        <v>42</v>
      </c>
      <c r="O41" s="710"/>
      <c r="R41" s="383"/>
      <c r="S41" s="383"/>
      <c r="T41" s="383"/>
      <c r="U41" s="383"/>
      <c r="V41" s="383"/>
      <c r="W41" s="383"/>
      <c r="X41" s="383"/>
      <c r="Y41" s="383"/>
      <c r="Z41" s="383"/>
      <c r="AA41" s="383"/>
    </row>
    <row r="42" spans="1:27" ht="45" customHeight="1" x14ac:dyDescent="0.35">
      <c r="B42" s="7"/>
      <c r="C42" s="409" t="s">
        <v>1186</v>
      </c>
      <c r="D42" s="410"/>
      <c r="E42" s="411">
        <f>EF!C53</f>
        <v>4.7868065418002384E-2</v>
      </c>
      <c r="F42" s="412" t="s">
        <v>42</v>
      </c>
      <c r="H42" s="383"/>
      <c r="I42" s="383"/>
      <c r="J42" s="413"/>
      <c r="K42" s="413"/>
      <c r="L42" s="413"/>
      <c r="M42" s="413"/>
      <c r="O42" s="414"/>
      <c r="R42" s="383"/>
      <c r="S42" s="383"/>
      <c r="T42" s="383"/>
      <c r="U42" s="383"/>
      <c r="V42" s="383"/>
      <c r="W42" s="383"/>
      <c r="X42" s="383"/>
      <c r="Y42" s="383"/>
      <c r="Z42" s="383"/>
      <c r="AA42" s="383"/>
    </row>
    <row r="43" spans="1:27" ht="45" customHeight="1" thickBot="1" x14ac:dyDescent="0.4">
      <c r="B43" s="383"/>
      <c r="C43" s="415"/>
      <c r="D43" s="415"/>
      <c r="E43" s="383"/>
      <c r="F43" s="383"/>
      <c r="G43" s="383"/>
      <c r="H43" s="383"/>
      <c r="I43" s="383"/>
      <c r="J43" s="413"/>
      <c r="K43" s="413"/>
      <c r="L43" s="413"/>
      <c r="M43" s="413"/>
      <c r="O43" s="414"/>
      <c r="R43" s="383"/>
      <c r="S43" s="383"/>
      <c r="T43" s="383"/>
      <c r="U43" s="383"/>
      <c r="V43" s="383"/>
      <c r="W43" s="383"/>
      <c r="X43" s="383"/>
      <c r="Y43" s="383"/>
      <c r="Z43" s="383"/>
      <c r="AA43" s="383"/>
    </row>
    <row r="44" spans="1:27" ht="45" customHeight="1" thickBot="1" x14ac:dyDescent="0.5">
      <c r="B44" s="383"/>
      <c r="C44" s="416" t="s">
        <v>67</v>
      </c>
      <c r="D44" s="363"/>
      <c r="E44" s="364"/>
      <c r="F44" s="364"/>
      <c r="G44" s="364"/>
      <c r="H44" s="364"/>
      <c r="I44" s="364"/>
      <c r="J44" s="417"/>
      <c r="K44" s="417"/>
      <c r="L44" s="418"/>
      <c r="M44" s="418"/>
      <c r="N44" s="419"/>
      <c r="O44" s="366" t="s">
        <v>1418</v>
      </c>
      <c r="P44" s="383"/>
      <c r="Q44" s="383"/>
      <c r="R44" s="383"/>
      <c r="S44" s="383"/>
      <c r="T44" s="383"/>
      <c r="U44" s="383"/>
      <c r="V44" s="383"/>
      <c r="W44" s="383"/>
      <c r="X44" s="383"/>
      <c r="Y44" s="383"/>
      <c r="Z44" s="383"/>
      <c r="AA44" s="383"/>
    </row>
    <row r="45" spans="1:27" ht="45" customHeight="1" x14ac:dyDescent="0.35">
      <c r="B45" s="383"/>
      <c r="C45" s="902" t="s">
        <v>1172</v>
      </c>
      <c r="D45" s="903"/>
      <c r="E45" s="904"/>
      <c r="F45" s="420" t="s">
        <v>32</v>
      </c>
      <c r="G45" s="421"/>
      <c r="H45" s="422" t="s">
        <v>33</v>
      </c>
      <c r="I45" s="422"/>
      <c r="J45" s="908" t="s">
        <v>34</v>
      </c>
      <c r="K45" s="909"/>
      <c r="L45" s="909"/>
      <c r="M45" s="909"/>
      <c r="N45" s="910"/>
      <c r="O45" s="423" t="s">
        <v>36</v>
      </c>
      <c r="P45" s="383"/>
      <c r="Q45" s="383"/>
      <c r="R45" s="383"/>
      <c r="X45" s="383"/>
      <c r="Y45" s="383"/>
      <c r="Z45" s="383"/>
      <c r="AA45" s="383"/>
    </row>
    <row r="46" spans="1:27" ht="45" customHeight="1" x14ac:dyDescent="0.35">
      <c r="B46" s="383"/>
      <c r="C46" s="905" t="s">
        <v>1352</v>
      </c>
      <c r="D46" s="906"/>
      <c r="E46" s="907"/>
      <c r="F46" s="424">
        <v>2023</v>
      </c>
      <c r="G46" s="425">
        <v>2025</v>
      </c>
      <c r="H46" s="425">
        <f>G46+5</f>
        <v>2030</v>
      </c>
      <c r="I46" s="426">
        <f>H46+5</f>
        <v>2035</v>
      </c>
      <c r="J46" s="374">
        <v>2023</v>
      </c>
      <c r="K46" s="375">
        <v>2025</v>
      </c>
      <c r="L46" s="375">
        <v>2030</v>
      </c>
      <c r="M46" s="375">
        <v>2035</v>
      </c>
      <c r="N46" s="376" t="s">
        <v>35</v>
      </c>
      <c r="O46" s="377"/>
      <c r="P46" s="383"/>
      <c r="Q46" s="383"/>
      <c r="R46" s="383"/>
      <c r="S46" s="122"/>
      <c r="X46" s="383"/>
      <c r="Y46" s="383"/>
      <c r="Z46" s="383"/>
      <c r="AA46" s="383"/>
    </row>
    <row r="47" spans="1:27" ht="45" customHeight="1" x14ac:dyDescent="0.35">
      <c r="B47" s="383"/>
      <c r="C47" s="427" t="s">
        <v>68</v>
      </c>
      <c r="D47" s="428" t="s">
        <v>69</v>
      </c>
      <c r="E47" s="429" t="s">
        <v>70</v>
      </c>
      <c r="F47" s="240">
        <f>IF(ISNUMBER(INDEX('Data DV'!$O$6:$O$240,MATCH(Drikkevand!$C$2,'Data DV'!$A$6:$A$240,0))),INDEX('Data DV'!$O$6:$O$240,MATCH(Drikkevand!$C$2,'Data DV'!$A$6:$A$240,0)),0)</f>
        <v>0</v>
      </c>
      <c r="G47" s="723"/>
      <c r="H47" s="723"/>
      <c r="I47" s="724"/>
      <c r="J47" s="922" t="s">
        <v>1367</v>
      </c>
      <c r="K47" s="923"/>
      <c r="L47" s="923"/>
      <c r="M47" s="923"/>
      <c r="N47" s="924"/>
      <c r="O47" s="94"/>
      <c r="P47" s="383"/>
      <c r="Q47" s="383"/>
      <c r="S47" s="122"/>
      <c r="X47" s="383"/>
      <c r="Y47" s="383"/>
      <c r="Z47" s="383"/>
      <c r="AA47" s="383"/>
    </row>
    <row r="48" spans="1:27" ht="45" customHeight="1" x14ac:dyDescent="0.35">
      <c r="B48" s="383"/>
      <c r="C48" s="431" t="s">
        <v>1515</v>
      </c>
      <c r="D48" s="401" t="s">
        <v>1518</v>
      </c>
      <c r="E48" s="385" t="s">
        <v>71</v>
      </c>
      <c r="F48" s="725"/>
      <c r="G48" s="725"/>
      <c r="H48" s="725"/>
      <c r="I48" s="726"/>
      <c r="J48" s="922" t="s">
        <v>1367</v>
      </c>
      <c r="K48" s="923"/>
      <c r="L48" s="923"/>
      <c r="M48" s="923"/>
      <c r="N48" s="924"/>
      <c r="O48" s="94"/>
      <c r="P48" s="383"/>
      <c r="Q48" s="383"/>
      <c r="R48" s="122"/>
      <c r="S48" s="124"/>
      <c r="X48" s="383"/>
      <c r="Y48" s="383"/>
      <c r="Z48" s="383"/>
      <c r="AA48" s="383"/>
    </row>
    <row r="49" spans="1:27" ht="45" customHeight="1" thickBot="1" x14ac:dyDescent="0.4">
      <c r="B49" s="383"/>
      <c r="C49" s="378" t="s">
        <v>72</v>
      </c>
      <c r="D49" s="432" t="s">
        <v>1517</v>
      </c>
      <c r="E49" s="380" t="s">
        <v>73</v>
      </c>
      <c r="F49" s="727"/>
      <c r="G49" s="721"/>
      <c r="H49" s="721"/>
      <c r="I49" s="727"/>
      <c r="J49" s="406">
        <f>IF(ISBLANK(F48),$E$50,IF(ISTEXT(F48), 0, IF(ISNUMBER(F49), F48*(1-F49/100)*EF!$B$3/1000, F48*EF!$B$3/1000)))</f>
        <v>1.7999999999999999E-2</v>
      </c>
      <c r="K49" s="406">
        <f>IF(ISBLANK(G48),$E$50,IF(ISTEXT(G48), 0, IF(ISNUMBER(G49), G48*(1-G49/100)*EF!$B$3/1000, G48*EF!$B$3/1000)))</f>
        <v>1.7999999999999999E-2</v>
      </c>
      <c r="L49" s="406">
        <f>IF(ISBLANK(H48),$E$50,IF(ISTEXT(H48), 0, IF(ISNUMBER(H49), H48*(1-H49/100)*EF!$B$3/1000, H48*EF!$B$3/1000)))</f>
        <v>1.7999999999999999E-2</v>
      </c>
      <c r="M49" s="406">
        <f>IF(ISBLANK(I48),$E$50,IF(ISTEXT(I48), 0, IF(ISNUMBER(I49), I48*(1-I49/100)*EF!$B$3/1000, I48*EF!$B$3/1000)))</f>
        <v>1.7999999999999999E-2</v>
      </c>
      <c r="N49" s="433" t="s">
        <v>74</v>
      </c>
      <c r="O49" s="728"/>
      <c r="P49" s="383"/>
      <c r="Q49" s="383"/>
      <c r="R49" s="122"/>
      <c r="S49" s="124"/>
      <c r="X49" s="383"/>
      <c r="Y49" s="383"/>
      <c r="Z49" s="383"/>
      <c r="AA49" s="383"/>
    </row>
    <row r="50" spans="1:27" ht="45" customHeight="1" x14ac:dyDescent="0.35">
      <c r="B50" s="383"/>
      <c r="C50" s="434" t="s">
        <v>75</v>
      </c>
      <c r="D50" s="434"/>
      <c r="E50" s="435">
        <f>EF!C60</f>
        <v>1.7999999999999999E-2</v>
      </c>
      <c r="F50" s="435" t="s">
        <v>74</v>
      </c>
      <c r="H50" s="436"/>
      <c r="I50" s="436"/>
      <c r="J50" s="436"/>
      <c r="K50" s="436"/>
      <c r="L50" s="436"/>
      <c r="M50" s="436"/>
      <c r="O50" s="120"/>
      <c r="P50" s="383"/>
      <c r="Q50" s="383"/>
      <c r="R50" s="124"/>
      <c r="S50" s="383"/>
      <c r="T50" s="383"/>
      <c r="U50" s="383"/>
      <c r="V50" s="383"/>
      <c r="W50" s="383"/>
      <c r="X50" s="383"/>
      <c r="Y50" s="383"/>
      <c r="Z50" s="383"/>
      <c r="AA50" s="383"/>
    </row>
    <row r="51" spans="1:27" ht="45" customHeight="1" thickBot="1" x14ac:dyDescent="0.4">
      <c r="B51" s="383"/>
      <c r="C51" s="415"/>
      <c r="D51" s="415"/>
      <c r="E51" s="383"/>
      <c r="F51" s="383"/>
      <c r="G51" s="383"/>
      <c r="H51" s="383"/>
      <c r="I51" s="383"/>
      <c r="J51" s="413"/>
      <c r="K51" s="413"/>
      <c r="L51" s="413"/>
      <c r="M51" s="413"/>
      <c r="O51" s="437"/>
      <c r="P51" s="3"/>
      <c r="Q51" s="383"/>
      <c r="R51" s="124"/>
      <c r="S51" s="383"/>
      <c r="T51" s="383"/>
      <c r="U51" s="383"/>
      <c r="V51" s="383"/>
      <c r="W51" s="383"/>
      <c r="X51" s="383"/>
      <c r="Y51" s="383"/>
      <c r="Z51" s="383"/>
      <c r="AA51" s="383"/>
    </row>
    <row r="52" spans="1:27" ht="45" customHeight="1" thickBot="1" x14ac:dyDescent="0.55000000000000004">
      <c r="B52" s="383"/>
      <c r="C52" s="362" t="s">
        <v>76</v>
      </c>
      <c r="D52" s="363"/>
      <c r="E52" s="364"/>
      <c r="F52" s="364"/>
      <c r="G52" s="364"/>
      <c r="H52" s="364"/>
      <c r="I52" s="364"/>
      <c r="J52" s="417"/>
      <c r="K52" s="417"/>
      <c r="L52" s="418"/>
      <c r="M52" s="418"/>
      <c r="N52" s="419"/>
      <c r="O52" s="366" t="s">
        <v>1419</v>
      </c>
      <c r="P52" s="3"/>
      <c r="Q52" s="383"/>
      <c r="R52" s="383"/>
      <c r="S52" s="383"/>
      <c r="T52" s="383"/>
      <c r="U52" s="383"/>
      <c r="V52" s="383"/>
      <c r="W52" s="383"/>
      <c r="X52" s="383"/>
      <c r="Y52" s="383"/>
    </row>
    <row r="53" spans="1:27" ht="45" customHeight="1" x14ac:dyDescent="0.35">
      <c r="B53" s="383"/>
      <c r="C53" s="902" t="s">
        <v>77</v>
      </c>
      <c r="D53" s="903"/>
      <c r="E53" s="904"/>
      <c r="F53" s="420" t="s">
        <v>32</v>
      </c>
      <c r="G53" s="421"/>
      <c r="H53" s="422" t="s">
        <v>33</v>
      </c>
      <c r="I53" s="422"/>
      <c r="J53" s="908" t="s">
        <v>34</v>
      </c>
      <c r="K53" s="909"/>
      <c r="L53" s="909"/>
      <c r="M53" s="909"/>
      <c r="N53" s="910"/>
      <c r="O53" s="438" t="s">
        <v>36</v>
      </c>
      <c r="Q53" s="383"/>
      <c r="R53" s="383"/>
      <c r="S53" s="383"/>
      <c r="T53" s="383"/>
      <c r="U53" s="383"/>
      <c r="V53" s="383"/>
      <c r="W53" s="383"/>
      <c r="X53" s="383"/>
      <c r="Y53" s="383"/>
      <c r="Z53" s="383"/>
      <c r="AA53" s="383"/>
    </row>
    <row r="54" spans="1:27" ht="45" customHeight="1" x14ac:dyDescent="0.35">
      <c r="B54" s="439"/>
      <c r="C54" s="905" t="s">
        <v>1173</v>
      </c>
      <c r="D54" s="906"/>
      <c r="E54" s="907"/>
      <c r="F54" s="424">
        <v>2023</v>
      </c>
      <c r="G54" s="425">
        <v>2025</v>
      </c>
      <c r="H54" s="425">
        <f>G54+5</f>
        <v>2030</v>
      </c>
      <c r="I54" s="426">
        <f>H54+5</f>
        <v>2035</v>
      </c>
      <c r="J54" s="374">
        <v>2023</v>
      </c>
      <c r="K54" s="375">
        <v>2025</v>
      </c>
      <c r="L54" s="375">
        <v>2030</v>
      </c>
      <c r="M54" s="375">
        <v>2035</v>
      </c>
      <c r="N54" s="376" t="s">
        <v>35</v>
      </c>
      <c r="O54" s="440"/>
      <c r="R54" s="383"/>
    </row>
    <row r="55" spans="1:27" ht="45" customHeight="1" x14ac:dyDescent="0.35">
      <c r="A55" s="3"/>
      <c r="B55" s="441" t="s">
        <v>78</v>
      </c>
      <c r="C55" s="442" t="s">
        <v>79</v>
      </c>
      <c r="D55" s="401" t="s">
        <v>80</v>
      </c>
      <c r="E55" s="385" t="s">
        <v>81</v>
      </c>
      <c r="F55" s="86"/>
      <c r="G55" s="86"/>
      <c r="H55" s="86"/>
      <c r="I55" s="98"/>
      <c r="J55" s="443">
        <f>IFERROR(INDEX(EF!$C$24:$C$33,MATCH("Diesel",EF!$A$24:$A$33,0)),"")</f>
        <v>2.6911905369127518</v>
      </c>
      <c r="K55" s="444">
        <f>IFERROR(INDEX(EF!$E$24:$E$33,MATCH("Diesel",EF!$A$24:$A$33,0)),"")</f>
        <v>2.6911905369127518</v>
      </c>
      <c r="L55" s="444">
        <f>IFERROR(INDEX(EF!$G$24:$G$33,MATCH("Diesel",EF!$A$24:$A$33,0)),"")</f>
        <v>2.6911905369127518</v>
      </c>
      <c r="M55" s="444">
        <f>IFERROR(INDEX(EF!$I$24:$I$33,MATCH("Diesel",EF!$A$24:$A$33,0)),"")</f>
        <v>2.6911905369127518</v>
      </c>
      <c r="N55" s="445" t="s">
        <v>82</v>
      </c>
      <c r="O55" s="104"/>
      <c r="P55" s="122"/>
      <c r="Q55" s="122"/>
      <c r="R55" s="383"/>
    </row>
    <row r="56" spans="1:27" ht="45" customHeight="1" thickBot="1" x14ac:dyDescent="0.4">
      <c r="A56" s="3"/>
      <c r="B56" s="441" t="s">
        <v>83</v>
      </c>
      <c r="C56" s="446" t="s">
        <v>84</v>
      </c>
      <c r="D56" s="447" t="s">
        <v>80</v>
      </c>
      <c r="E56" s="380" t="s">
        <v>81</v>
      </c>
      <c r="F56" s="218"/>
      <c r="G56" s="218"/>
      <c r="H56" s="218"/>
      <c r="I56" s="219"/>
      <c r="J56" s="448">
        <f>IFERROR(INDEX(EF!$C$24:$C$33,MATCH("Benzin",EF!$A$24:$A$33,0)),"")</f>
        <v>2.4122153463087246</v>
      </c>
      <c r="K56" s="449">
        <f>IFERROR(INDEX(EF!$E$24:$E$33,MATCH("Benzin",EF!$A$24:$A$33,0)),"")</f>
        <v>2.4122153463087246</v>
      </c>
      <c r="L56" s="449">
        <f>IFERROR(INDEX(EF!$G$24:$G$33,MATCH("Benzin",EF!$A$24:$A$33,0)),"")</f>
        <v>2.4122153463087246</v>
      </c>
      <c r="M56" s="449">
        <f>IFERROR(INDEX(EF!$I$24:$I$33,MATCH("Benzin",EF!$A$24:$A$33,0)),"")</f>
        <v>2.4122153463087246</v>
      </c>
      <c r="N56" s="433" t="s">
        <v>82</v>
      </c>
      <c r="O56" s="104"/>
      <c r="P56" s="122"/>
      <c r="Q56" s="122"/>
    </row>
    <row r="57" spans="1:27" ht="45" customHeight="1" x14ac:dyDescent="0.35">
      <c r="B57" s="383"/>
      <c r="C57" s="415"/>
      <c r="D57" s="415"/>
      <c r="E57" s="383"/>
      <c r="F57" s="123"/>
      <c r="G57" s="123"/>
      <c r="H57" s="123"/>
      <c r="I57" s="123"/>
      <c r="J57" s="413"/>
      <c r="K57" s="383"/>
      <c r="L57" s="383"/>
      <c r="M57" s="383"/>
      <c r="O57" s="120"/>
      <c r="P57" s="124"/>
      <c r="Q57" s="124"/>
    </row>
    <row r="58" spans="1:27" ht="45" customHeight="1" x14ac:dyDescent="0.35">
      <c r="B58" s="383"/>
      <c r="C58" s="383"/>
      <c r="D58" s="383"/>
      <c r="E58" s="383"/>
      <c r="F58" s="383"/>
      <c r="G58" s="383"/>
      <c r="H58" s="383"/>
      <c r="I58" s="383"/>
      <c r="J58" s="383"/>
      <c r="K58" s="383"/>
      <c r="L58" s="383"/>
      <c r="M58" s="383"/>
      <c r="O58" s="414"/>
      <c r="P58" s="124"/>
      <c r="Q58" s="124"/>
    </row>
    <row r="59" spans="1:27" ht="45" customHeight="1" x14ac:dyDescent="0.5">
      <c r="B59" s="450" t="s">
        <v>1430</v>
      </c>
      <c r="C59" s="451"/>
      <c r="D59" s="451"/>
      <c r="E59" s="451"/>
      <c r="F59" s="451"/>
      <c r="G59" s="451"/>
      <c r="H59" s="451"/>
      <c r="I59" s="451"/>
      <c r="J59" s="451"/>
      <c r="K59" s="451"/>
      <c r="L59" s="451"/>
      <c r="M59" s="451"/>
      <c r="N59" s="451"/>
      <c r="O59" s="452"/>
      <c r="P59" s="382"/>
      <c r="Q59" s="383"/>
      <c r="S59" s="453"/>
      <c r="T59" s="453"/>
      <c r="U59" s="453"/>
      <c r="V59" s="453"/>
      <c r="W59" s="453"/>
      <c r="X59" s="453"/>
      <c r="Y59" s="383"/>
      <c r="Z59" s="383"/>
      <c r="AA59" s="383"/>
    </row>
    <row r="60" spans="1:27" ht="45" customHeight="1" thickBot="1" x14ac:dyDescent="0.4">
      <c r="B60" s="383"/>
      <c r="C60" s="383"/>
      <c r="D60" s="383"/>
      <c r="E60" s="383"/>
      <c r="F60" s="383"/>
      <c r="G60" s="383"/>
      <c r="H60" s="383"/>
      <c r="I60" s="383"/>
      <c r="J60" s="383"/>
      <c r="K60" s="383"/>
      <c r="L60" s="383"/>
      <c r="M60" s="383"/>
      <c r="O60" s="389"/>
      <c r="P60" s="383"/>
      <c r="Q60" s="383"/>
      <c r="S60" s="453"/>
      <c r="T60" s="453"/>
      <c r="U60" s="453"/>
      <c r="V60" s="453"/>
      <c r="W60" s="453"/>
      <c r="X60" s="453"/>
      <c r="Y60" s="383"/>
      <c r="Z60" s="383"/>
      <c r="AA60" s="383"/>
    </row>
    <row r="61" spans="1:27" ht="45" customHeight="1" thickBot="1" x14ac:dyDescent="0.55000000000000004">
      <c r="A61" s="454"/>
      <c r="B61" s="383"/>
      <c r="C61" s="362" t="s">
        <v>40</v>
      </c>
      <c r="D61" s="363"/>
      <c r="E61" s="364"/>
      <c r="F61" s="364"/>
      <c r="G61" s="364"/>
      <c r="H61" s="364"/>
      <c r="I61" s="364"/>
      <c r="J61" s="417"/>
      <c r="K61" s="417"/>
      <c r="L61" s="418"/>
      <c r="M61" s="418"/>
      <c r="N61" s="419"/>
      <c r="O61" s="366" t="s">
        <v>1420</v>
      </c>
      <c r="P61" s="383"/>
      <c r="Q61" s="383"/>
      <c r="R61" s="453"/>
      <c r="S61" s="453"/>
      <c r="T61" s="453"/>
      <c r="U61" s="453"/>
      <c r="V61" s="453"/>
      <c r="W61" s="453"/>
      <c r="X61" s="453"/>
      <c r="Y61" s="383"/>
      <c r="Z61" s="383"/>
      <c r="AA61" s="383"/>
    </row>
    <row r="62" spans="1:27" ht="45" customHeight="1" x14ac:dyDescent="0.35">
      <c r="A62" s="454"/>
      <c r="B62" s="383"/>
      <c r="C62" s="902" t="s">
        <v>85</v>
      </c>
      <c r="D62" s="903"/>
      <c r="E62" s="904"/>
      <c r="F62" s="420" t="s">
        <v>32</v>
      </c>
      <c r="G62" s="421"/>
      <c r="H62" s="369" t="s">
        <v>33</v>
      </c>
      <c r="I62" s="422"/>
      <c r="J62" s="908" t="s">
        <v>34</v>
      </c>
      <c r="K62" s="909"/>
      <c r="L62" s="909"/>
      <c r="M62" s="909"/>
      <c r="N62" s="910"/>
      <c r="O62" s="438" t="s">
        <v>36</v>
      </c>
      <c r="P62" s="389"/>
      <c r="Q62" s="389"/>
      <c r="R62" s="453"/>
      <c r="S62" s="453"/>
      <c r="T62" s="453"/>
      <c r="U62" s="453"/>
      <c r="V62" s="453"/>
      <c r="W62" s="453"/>
      <c r="X62" s="453"/>
      <c r="Y62" s="383"/>
      <c r="Z62" s="383"/>
      <c r="AA62" s="383"/>
    </row>
    <row r="63" spans="1:27" ht="45" customHeight="1" x14ac:dyDescent="0.35">
      <c r="A63" s="455"/>
      <c r="B63" s="383"/>
      <c r="C63" s="456"/>
      <c r="D63" s="457"/>
      <c r="E63" s="458"/>
      <c r="F63" s="425">
        <v>2023</v>
      </c>
      <c r="G63" s="425">
        <v>2025</v>
      </c>
      <c r="H63" s="425">
        <f t="shared" ref="H63" si="6">G63+5</f>
        <v>2030</v>
      </c>
      <c r="I63" s="426">
        <f t="shared" ref="I63" si="7">H63+5</f>
        <v>2035</v>
      </c>
      <c r="J63" s="459">
        <v>2023</v>
      </c>
      <c r="K63" s="460">
        <v>2025</v>
      </c>
      <c r="L63" s="460">
        <v>2030</v>
      </c>
      <c r="M63" s="460">
        <v>2035</v>
      </c>
      <c r="N63" s="461" t="s">
        <v>35</v>
      </c>
      <c r="O63" s="440"/>
      <c r="R63" s="453"/>
      <c r="S63" s="453"/>
      <c r="T63" s="453"/>
      <c r="U63" s="453"/>
      <c r="V63" s="453"/>
      <c r="W63" s="453"/>
      <c r="X63" s="453"/>
      <c r="Y63" s="383"/>
      <c r="Z63" s="383"/>
      <c r="AA63" s="383"/>
    </row>
    <row r="64" spans="1:27" ht="45" customHeight="1" thickBot="1" x14ac:dyDescent="0.4">
      <c r="A64" s="455"/>
      <c r="B64" s="383"/>
      <c r="C64" s="462" t="s">
        <v>40</v>
      </c>
      <c r="D64" s="463" t="s">
        <v>86</v>
      </c>
      <c r="E64" s="380" t="s">
        <v>39</v>
      </c>
      <c r="F64" s="238">
        <f>F32</f>
        <v>0</v>
      </c>
      <c r="G64" s="238">
        <f>G32</f>
        <v>0</v>
      </c>
      <c r="H64" s="238">
        <f>H32</f>
        <v>0</v>
      </c>
      <c r="I64" s="239">
        <f>I32</f>
        <v>0</v>
      </c>
      <c r="J64" s="464">
        <f>IF(AND(ISNUMBER(J32),J32&gt;0),J32,E42)</f>
        <v>4.7868065418002384E-2</v>
      </c>
      <c r="K64" s="465">
        <f>K32</f>
        <v>3.6957164362437726E-2</v>
      </c>
      <c r="L64" s="465">
        <f>L32</f>
        <v>1.8894210049639697E-2</v>
      </c>
      <c r="M64" s="465">
        <f>M32</f>
        <v>1.1739632740217762E-2</v>
      </c>
      <c r="N64" s="433" t="s">
        <v>42</v>
      </c>
      <c r="O64" s="108"/>
      <c r="R64" s="453"/>
      <c r="S64" s="453"/>
      <c r="T64" s="453"/>
      <c r="U64" s="453"/>
      <c r="V64" s="453"/>
      <c r="W64" s="453"/>
      <c r="X64" s="453"/>
      <c r="Y64" s="383"/>
      <c r="Z64" s="383"/>
      <c r="AA64" s="383"/>
    </row>
    <row r="65" spans="1:27" ht="45" customHeight="1" x14ac:dyDescent="0.35">
      <c r="A65" s="454"/>
      <c r="B65" s="453"/>
      <c r="C65" s="409" t="s">
        <v>66</v>
      </c>
      <c r="D65" s="410"/>
      <c r="E65" s="411">
        <f>EF!C53</f>
        <v>4.7868065418002384E-2</v>
      </c>
      <c r="F65" s="412" t="s">
        <v>42</v>
      </c>
      <c r="H65" s="453"/>
      <c r="I65" s="453"/>
      <c r="J65" s="453"/>
      <c r="K65" s="453"/>
      <c r="L65" s="453"/>
      <c r="M65" s="453"/>
      <c r="O65" s="120"/>
      <c r="R65" s="453"/>
      <c r="S65" s="453"/>
      <c r="T65" s="453"/>
      <c r="U65" s="453"/>
      <c r="V65" s="453"/>
      <c r="W65" s="453"/>
      <c r="X65" s="453"/>
      <c r="Y65" s="383"/>
      <c r="Z65" s="383"/>
      <c r="AA65" s="383"/>
    </row>
    <row r="66" spans="1:27" ht="45" customHeight="1" thickBot="1" x14ac:dyDescent="0.4">
      <c r="A66" s="454"/>
      <c r="B66" s="453"/>
      <c r="C66" s="409"/>
      <c r="D66" s="410"/>
      <c r="E66" s="453"/>
      <c r="F66" s="466"/>
      <c r="G66" s="412"/>
      <c r="H66" s="453"/>
      <c r="I66" s="453"/>
      <c r="J66" s="453"/>
      <c r="K66" s="453"/>
      <c r="L66" s="453"/>
      <c r="M66" s="453"/>
      <c r="O66" s="467"/>
      <c r="R66" s="453"/>
      <c r="S66" s="453"/>
      <c r="T66" s="453"/>
      <c r="U66" s="453"/>
      <c r="V66" s="453"/>
      <c r="W66" s="453"/>
      <c r="X66" s="453"/>
      <c r="Y66" s="383"/>
    </row>
    <row r="67" spans="1:27" ht="45" customHeight="1" thickBot="1" x14ac:dyDescent="0.55000000000000004">
      <c r="A67" s="454"/>
      <c r="B67" s="453"/>
      <c r="C67" s="362" t="s">
        <v>87</v>
      </c>
      <c r="D67" s="363"/>
      <c r="E67" s="364"/>
      <c r="F67" s="364"/>
      <c r="G67" s="364"/>
      <c r="H67" s="364"/>
      <c r="I67" s="364"/>
      <c r="J67" s="364"/>
      <c r="K67" s="364"/>
      <c r="L67" s="365"/>
      <c r="M67" s="365"/>
      <c r="N67" s="419"/>
      <c r="O67" s="366" t="s">
        <v>1519</v>
      </c>
      <c r="R67" s="453"/>
      <c r="S67" s="383"/>
      <c r="T67" s="383"/>
      <c r="U67" s="383"/>
      <c r="V67" s="383"/>
      <c r="W67" s="383"/>
      <c r="X67" s="383"/>
      <c r="Y67" s="383"/>
      <c r="Z67" s="383"/>
      <c r="AA67" s="383"/>
    </row>
    <row r="68" spans="1:27" ht="45" customHeight="1" x14ac:dyDescent="0.35">
      <c r="A68" s="454"/>
      <c r="B68" s="453"/>
      <c r="C68" s="902" t="s">
        <v>1195</v>
      </c>
      <c r="D68" s="903"/>
      <c r="E68" s="904"/>
      <c r="F68" s="420" t="s">
        <v>32</v>
      </c>
      <c r="G68" s="368"/>
      <c r="H68" s="422" t="s">
        <v>33</v>
      </c>
      <c r="I68" s="422"/>
      <c r="J68" s="908" t="s">
        <v>34</v>
      </c>
      <c r="K68" s="909"/>
      <c r="L68" s="909"/>
      <c r="M68" s="909"/>
      <c r="N68" s="910"/>
      <c r="O68" s="423" t="s">
        <v>36</v>
      </c>
      <c r="P68" s="467"/>
      <c r="Q68" s="467"/>
      <c r="R68" s="453"/>
      <c r="S68" s="383"/>
      <c r="T68" s="383"/>
      <c r="U68" s="383"/>
      <c r="V68" s="383"/>
      <c r="W68" s="383"/>
      <c r="X68" s="383"/>
      <c r="Y68" s="389"/>
      <c r="Z68" s="389"/>
      <c r="AA68" s="389"/>
    </row>
    <row r="69" spans="1:27" ht="45" customHeight="1" x14ac:dyDescent="0.35">
      <c r="A69" s="454"/>
      <c r="B69" s="453"/>
      <c r="C69" s="468" t="s">
        <v>89</v>
      </c>
      <c r="D69" s="457" t="str">
        <f>IF(Basisoplysninger!J6=1,"DK vest","DK øst")</f>
        <v>DK vest</v>
      </c>
      <c r="E69" s="458"/>
      <c r="F69" s="425">
        <v>2023</v>
      </c>
      <c r="G69" s="425">
        <v>2025</v>
      </c>
      <c r="H69" s="425">
        <f t="shared" ref="H69" si="8">G69+5</f>
        <v>2030</v>
      </c>
      <c r="I69" s="426">
        <f t="shared" ref="I69" si="9">H69+5</f>
        <v>2035</v>
      </c>
      <c r="J69" s="459">
        <v>2023</v>
      </c>
      <c r="K69" s="460">
        <v>2025</v>
      </c>
      <c r="L69" s="460">
        <v>2030</v>
      </c>
      <c r="M69" s="460">
        <v>2035</v>
      </c>
      <c r="N69" s="461" t="s">
        <v>35</v>
      </c>
      <c r="O69" s="440"/>
      <c r="P69" s="467"/>
      <c r="Q69" s="467"/>
      <c r="R69" s="383"/>
      <c r="S69" s="122"/>
      <c r="T69" s="122"/>
      <c r="U69" s="122"/>
      <c r="V69" s="122"/>
      <c r="W69" s="415"/>
      <c r="X69" s="383"/>
      <c r="Y69" s="383"/>
      <c r="Z69" s="383"/>
      <c r="AA69" s="383"/>
    </row>
    <row r="70" spans="1:27" ht="45" customHeight="1" thickBot="1" x14ac:dyDescent="0.4">
      <c r="A70" s="455"/>
      <c r="B70" s="453"/>
      <c r="C70" s="462" t="s">
        <v>87</v>
      </c>
      <c r="D70" s="463" t="s">
        <v>90</v>
      </c>
      <c r="E70" s="380" t="s">
        <v>39</v>
      </c>
      <c r="F70" s="216">
        <f>IF(ISNUMBER(INDEX('Data DV'!C6:C240,MATCH(Drikkevand!C2,'Data DV'!A6:A240,0))),INDEX('Data DV'!C6:C240,MATCH(Drikkevand!C2,'Data DV'!A6:A240,0)),0)</f>
        <v>0</v>
      </c>
      <c r="G70" s="218"/>
      <c r="H70" s="218"/>
      <c r="I70" s="219"/>
      <c r="J70" s="469">
        <f>IF($D$69="DK øst",EF!C54,EF!C55)</f>
        <v>0.10340000000000001</v>
      </c>
      <c r="K70" s="470">
        <f>IF($D$69="DK øst",EF!E54,EF!E55)</f>
        <v>5.6939999999999998E-2</v>
      </c>
      <c r="L70" s="470">
        <f>IF($D$69="DK øst",EF!G54,EF!G55)</f>
        <v>2.4410000000000001E-2</v>
      </c>
      <c r="M70" s="470">
        <f>IF($D$69="DK øst",EF!I54,EF!I55)</f>
        <v>2.002E-2</v>
      </c>
      <c r="N70" s="433" t="s">
        <v>42</v>
      </c>
      <c r="O70" s="108"/>
      <c r="P70" s="467"/>
      <c r="Q70" s="467"/>
      <c r="R70" s="383"/>
      <c r="S70" s="122"/>
      <c r="T70" s="122"/>
      <c r="U70" s="122"/>
      <c r="V70" s="122"/>
      <c r="W70" s="383"/>
      <c r="X70" s="383"/>
      <c r="Y70" s="383"/>
      <c r="Z70" s="383"/>
      <c r="AA70" s="383"/>
    </row>
    <row r="71" spans="1:27" ht="45" customHeight="1" x14ac:dyDescent="0.35">
      <c r="A71" s="455"/>
      <c r="B71" s="471"/>
      <c r="C71" s="467"/>
      <c r="D71" s="467"/>
      <c r="E71" s="453"/>
      <c r="F71" s="453"/>
      <c r="G71" s="453"/>
      <c r="H71" s="453"/>
      <c r="I71" s="453"/>
      <c r="K71" s="453"/>
      <c r="L71" s="383"/>
      <c r="M71" s="383"/>
      <c r="O71" s="120"/>
      <c r="P71" s="467"/>
      <c r="Q71" s="467"/>
      <c r="R71" s="383"/>
    </row>
    <row r="72" spans="1:27" ht="45" customHeight="1" x14ac:dyDescent="0.35">
      <c r="A72" s="454"/>
      <c r="C72" s="467"/>
      <c r="D72" s="467"/>
      <c r="E72" s="453"/>
      <c r="F72" s="453"/>
      <c r="G72" s="453"/>
      <c r="H72" s="453"/>
      <c r="I72" s="453"/>
      <c r="J72" s="383"/>
      <c r="K72" s="453"/>
      <c r="L72" s="453"/>
      <c r="M72" s="453"/>
      <c r="O72" s="389"/>
      <c r="P72" s="467"/>
      <c r="Q72" s="467"/>
      <c r="R72" s="383"/>
    </row>
    <row r="73" spans="1:27" ht="45" customHeight="1" x14ac:dyDescent="0.5">
      <c r="B73" s="359" t="s">
        <v>1294</v>
      </c>
      <c r="C73" s="360"/>
      <c r="D73" s="360"/>
      <c r="E73" s="360"/>
      <c r="F73" s="360"/>
      <c r="G73" s="360"/>
      <c r="H73" s="360"/>
      <c r="I73" s="360"/>
      <c r="J73" s="360"/>
      <c r="K73" s="360"/>
      <c r="L73" s="360"/>
      <c r="M73" s="360"/>
      <c r="N73" s="360"/>
      <c r="O73" s="360"/>
      <c r="P73" s="360"/>
    </row>
    <row r="74" spans="1:27" ht="45" customHeight="1" thickBot="1" x14ac:dyDescent="0.4"/>
    <row r="75" spans="1:27" ht="45" customHeight="1" thickBot="1" x14ac:dyDescent="0.55000000000000004">
      <c r="C75" s="362" t="s">
        <v>1288</v>
      </c>
      <c r="D75" s="363"/>
      <c r="E75" s="364"/>
      <c r="F75" s="364"/>
      <c r="G75" s="364"/>
      <c r="H75" s="364"/>
      <c r="I75" s="364"/>
      <c r="J75" s="417"/>
      <c r="K75" s="417"/>
      <c r="L75" s="418"/>
      <c r="M75" s="418"/>
      <c r="N75" s="419"/>
      <c r="O75" s="366" t="s">
        <v>1421</v>
      </c>
    </row>
    <row r="76" spans="1:27" ht="45" customHeight="1" x14ac:dyDescent="0.35">
      <c r="C76" s="902" t="s">
        <v>1295</v>
      </c>
      <c r="D76" s="903"/>
      <c r="E76" s="904"/>
      <c r="F76" s="420" t="s">
        <v>32</v>
      </c>
      <c r="G76" s="421"/>
      <c r="H76" s="369" t="s">
        <v>33</v>
      </c>
      <c r="I76" s="422"/>
      <c r="J76" s="908" t="s">
        <v>34</v>
      </c>
      <c r="K76" s="909"/>
      <c r="L76" s="909"/>
      <c r="M76" s="909"/>
      <c r="N76" s="909"/>
      <c r="O76" s="423" t="s">
        <v>36</v>
      </c>
    </row>
    <row r="77" spans="1:27" ht="45" customHeight="1" x14ac:dyDescent="0.35">
      <c r="C77" s="905" t="s">
        <v>1296</v>
      </c>
      <c r="D77" s="906"/>
      <c r="E77" s="907"/>
      <c r="F77" s="425">
        <v>2023</v>
      </c>
      <c r="G77" s="425">
        <v>2025</v>
      </c>
      <c r="H77" s="425">
        <f t="shared" ref="H77" si="10">G77+5</f>
        <v>2030</v>
      </c>
      <c r="I77" s="426">
        <f t="shared" ref="I77" si="11">H77+5</f>
        <v>2035</v>
      </c>
      <c r="J77" s="459">
        <v>2023</v>
      </c>
      <c r="K77" s="460">
        <v>2025</v>
      </c>
      <c r="L77" s="460">
        <v>2030</v>
      </c>
      <c r="M77" s="460">
        <v>2035</v>
      </c>
      <c r="N77" s="472" t="s">
        <v>35</v>
      </c>
      <c r="O77" s="377"/>
      <c r="Q77" s="467"/>
    </row>
    <row r="78" spans="1:27" ht="45" customHeight="1" x14ac:dyDescent="0.35">
      <c r="C78" s="473" t="s">
        <v>1289</v>
      </c>
      <c r="D78" s="385" t="s">
        <v>1293</v>
      </c>
      <c r="E78" s="385" t="s">
        <v>39</v>
      </c>
      <c r="F78" s="214">
        <f>IF(ISNUMBER(INDEX('Data DV'!H6:H240,MATCH(Drikkevand!C2,'Data DV'!A6:A240,0))),INDEX('Data DV'!H6:H240,MATCH(Drikkevand!C2,'Data DV'!A6:A240,0)),0)</f>
        <v>0</v>
      </c>
      <c r="G78" s="355"/>
      <c r="H78" s="355"/>
      <c r="I78" s="356"/>
      <c r="J78" s="914" t="s">
        <v>1359</v>
      </c>
      <c r="K78" s="915"/>
      <c r="L78" s="915"/>
      <c r="M78" s="915"/>
      <c r="N78" s="474" t="s">
        <v>42</v>
      </c>
      <c r="O78" s="95"/>
      <c r="Q78" s="467"/>
    </row>
    <row r="79" spans="1:27" ht="45" customHeight="1" thickBot="1" x14ac:dyDescent="0.4">
      <c r="C79" s="462" t="s">
        <v>1290</v>
      </c>
      <c r="D79" s="380" t="s">
        <v>1292</v>
      </c>
      <c r="E79" s="380" t="s">
        <v>39</v>
      </c>
      <c r="F79" s="216">
        <f>IF(ISNUMBER(INDEX('Data DV'!G6:G240,MATCH(Drikkevand!C2,'Data DV'!A6:A240,0))),INDEX('Data DV'!G6:G240,MATCH(Drikkevand!C2,'Data DV'!A6:A240,0)),0)</f>
        <v>0</v>
      </c>
      <c r="G79" s="357"/>
      <c r="H79" s="357"/>
      <c r="I79" s="358"/>
      <c r="J79" s="916" t="s">
        <v>1359</v>
      </c>
      <c r="K79" s="917"/>
      <c r="L79" s="917"/>
      <c r="M79" s="917"/>
      <c r="N79" s="475" t="s">
        <v>42</v>
      </c>
      <c r="O79" s="106"/>
    </row>
    <row r="80" spans="1:27" ht="45" customHeight="1" x14ac:dyDescent="0.35"/>
    <row r="81" spans="1:27" ht="45" customHeight="1" x14ac:dyDescent="0.5">
      <c r="B81" s="359"/>
      <c r="C81" s="360"/>
      <c r="D81" s="360"/>
      <c r="E81" s="360"/>
      <c r="F81" s="360"/>
      <c r="G81" s="360"/>
      <c r="H81" s="360"/>
      <c r="I81" s="360"/>
      <c r="J81" s="360"/>
      <c r="K81" s="360"/>
      <c r="L81" s="360"/>
      <c r="M81" s="360"/>
      <c r="N81" s="360"/>
      <c r="O81" s="360"/>
      <c r="P81" s="360"/>
      <c r="S81" s="383"/>
      <c r="T81" s="383"/>
      <c r="U81" s="383"/>
      <c r="V81" s="383"/>
      <c r="W81" s="383"/>
      <c r="X81" s="383"/>
      <c r="Y81" s="383"/>
      <c r="Z81" s="383"/>
      <c r="AA81" s="383"/>
    </row>
    <row r="82" spans="1:27" ht="45" customHeight="1" x14ac:dyDescent="0.35">
      <c r="S82" s="383"/>
      <c r="T82" s="383"/>
      <c r="U82" s="383"/>
      <c r="V82" s="383"/>
      <c r="W82" s="383"/>
      <c r="X82" s="383"/>
      <c r="Y82" s="383"/>
      <c r="Z82" s="383"/>
      <c r="AA82" s="383"/>
    </row>
    <row r="83" spans="1:27" ht="45" customHeight="1" x14ac:dyDescent="0.35">
      <c r="R83" s="383"/>
      <c r="S83" s="383"/>
      <c r="T83" s="383"/>
      <c r="U83" s="383"/>
      <c r="V83" s="383"/>
      <c r="W83" s="383"/>
      <c r="X83" s="383"/>
      <c r="Y83" s="383"/>
      <c r="Z83" s="383"/>
      <c r="AA83" s="383"/>
    </row>
    <row r="84" spans="1:27" ht="45" customHeight="1" x14ac:dyDescent="0.5">
      <c r="B84" s="450" t="s">
        <v>1431</v>
      </c>
      <c r="C84" s="476"/>
      <c r="D84" s="476"/>
      <c r="E84" s="476"/>
      <c r="F84" s="476"/>
      <c r="G84" s="476"/>
      <c r="H84" s="476"/>
      <c r="I84" s="476"/>
      <c r="J84" s="476"/>
      <c r="K84" s="476"/>
      <c r="L84" s="476"/>
      <c r="M84" s="476"/>
      <c r="N84" s="476"/>
      <c r="O84" s="477"/>
      <c r="P84" s="382"/>
      <c r="Q84" s="453"/>
      <c r="R84" s="383"/>
      <c r="S84" s="383"/>
      <c r="T84" s="383"/>
      <c r="U84" s="383"/>
      <c r="V84" s="383"/>
      <c r="W84" s="383"/>
      <c r="X84" s="383"/>
      <c r="Y84" s="383"/>
      <c r="Z84" s="383"/>
      <c r="AA84" s="383"/>
    </row>
    <row r="85" spans="1:27" ht="45" customHeight="1" thickBot="1" x14ac:dyDescent="0.4">
      <c r="B85" s="383"/>
      <c r="C85" s="383"/>
      <c r="D85" s="383"/>
      <c r="E85" s="383"/>
      <c r="F85" s="383"/>
      <c r="G85" s="383"/>
      <c r="H85" s="383"/>
      <c r="I85" s="383"/>
      <c r="J85" s="383"/>
      <c r="K85" s="383"/>
      <c r="L85" s="383"/>
      <c r="M85" s="383"/>
      <c r="O85" s="389"/>
      <c r="P85" s="467"/>
      <c r="Q85" s="383"/>
      <c r="R85" s="383"/>
      <c r="S85" s="383"/>
      <c r="T85" s="383"/>
      <c r="U85" s="383"/>
      <c r="V85" s="383"/>
      <c r="W85" s="383"/>
      <c r="X85" s="383"/>
      <c r="Y85" s="383"/>
      <c r="Z85" s="383"/>
      <c r="AA85" s="383"/>
    </row>
    <row r="86" spans="1:27" ht="45" customHeight="1" thickBot="1" x14ac:dyDescent="0.55000000000000004">
      <c r="B86" s="383"/>
      <c r="C86" s="362" t="s">
        <v>91</v>
      </c>
      <c r="D86" s="363"/>
      <c r="E86" s="364"/>
      <c r="F86" s="364"/>
      <c r="G86" s="364"/>
      <c r="H86" s="364"/>
      <c r="I86" s="364"/>
      <c r="J86" s="364"/>
      <c r="K86" s="364"/>
      <c r="L86" s="365"/>
      <c r="M86" s="365"/>
      <c r="N86" s="419"/>
      <c r="O86" s="366" t="s">
        <v>1422</v>
      </c>
      <c r="P86" s="453"/>
      <c r="Q86" s="296"/>
      <c r="R86" s="383"/>
      <c r="S86" s="383"/>
      <c r="T86" s="383"/>
      <c r="U86" s="383"/>
      <c r="V86" s="383"/>
      <c r="W86" s="383"/>
      <c r="X86" s="383"/>
      <c r="Y86" s="383"/>
      <c r="Z86" s="383"/>
      <c r="AA86" s="383"/>
    </row>
    <row r="87" spans="1:27" ht="45" customHeight="1" x14ac:dyDescent="0.35">
      <c r="B87" s="383"/>
      <c r="C87" s="902" t="s">
        <v>1174</v>
      </c>
      <c r="D87" s="903"/>
      <c r="E87" s="904"/>
      <c r="F87" s="420" t="s">
        <v>32</v>
      </c>
      <c r="G87" s="368"/>
      <c r="H87" s="422" t="s">
        <v>33</v>
      </c>
      <c r="I87" s="422"/>
      <c r="J87" s="908" t="s">
        <v>34</v>
      </c>
      <c r="K87" s="909"/>
      <c r="L87" s="909"/>
      <c r="M87" s="909"/>
      <c r="N87" s="910"/>
      <c r="O87" s="438" t="s">
        <v>36</v>
      </c>
      <c r="P87" s="383"/>
      <c r="Q87" s="296"/>
      <c r="R87" s="383"/>
      <c r="S87" s="383"/>
      <c r="T87" s="383"/>
      <c r="U87" s="383"/>
      <c r="V87" s="383"/>
      <c r="W87" s="383"/>
      <c r="X87" s="383"/>
      <c r="Y87" s="383"/>
      <c r="Z87" s="383"/>
      <c r="AA87" s="383"/>
    </row>
    <row r="88" spans="1:27" ht="45" customHeight="1" x14ac:dyDescent="0.35">
      <c r="B88" s="383"/>
      <c r="C88" s="905" t="s">
        <v>1353</v>
      </c>
      <c r="D88" s="906"/>
      <c r="E88" s="907"/>
      <c r="F88" s="425">
        <v>2023</v>
      </c>
      <c r="G88" s="425">
        <v>2025</v>
      </c>
      <c r="H88" s="425">
        <f t="shared" ref="H88" si="12">G88+5</f>
        <v>2030</v>
      </c>
      <c r="I88" s="426">
        <f t="shared" ref="I88" si="13">H88+5</f>
        <v>2035</v>
      </c>
      <c r="J88" s="374">
        <v>2023</v>
      </c>
      <c r="K88" s="375">
        <v>2025</v>
      </c>
      <c r="L88" s="375">
        <v>2030</v>
      </c>
      <c r="M88" s="375">
        <v>2035</v>
      </c>
      <c r="N88" s="376" t="s">
        <v>35</v>
      </c>
      <c r="O88" s="440"/>
      <c r="P88" s="296"/>
      <c r="Q88" s="383"/>
      <c r="R88" s="383"/>
      <c r="S88" s="383"/>
      <c r="T88" s="383"/>
      <c r="U88" s="383"/>
      <c r="V88" s="383"/>
      <c r="W88" s="383"/>
      <c r="X88" s="383"/>
      <c r="Y88" s="383"/>
      <c r="Z88" s="383"/>
      <c r="AA88" s="383"/>
    </row>
    <row r="89" spans="1:27" ht="45" customHeight="1" x14ac:dyDescent="0.35">
      <c r="B89" s="383"/>
      <c r="C89" s="102" t="s">
        <v>93</v>
      </c>
      <c r="D89" s="478" t="s">
        <v>94</v>
      </c>
      <c r="E89" s="385" t="s">
        <v>95</v>
      </c>
      <c r="F89" s="232"/>
      <c r="G89" s="232"/>
      <c r="H89" s="232"/>
      <c r="I89" s="233"/>
      <c r="J89" s="479">
        <f>IFERROR(INDEX(EF!$C$79:$C$117,MATCH($C89,EF!$A$79:$A$117,0)),0)</f>
        <v>0</v>
      </c>
      <c r="K89" s="480">
        <f>IFERROR(INDEX(EF!$C$79:$C$117,MATCH($C89,EF!$A$79:$A$117,0)),0)</f>
        <v>0</v>
      </c>
      <c r="L89" s="480">
        <f>IFERROR(INDEX(EF!$C$79:$C$117,MATCH($C89,EF!$A$79:$A$117,0)),0)</f>
        <v>0</v>
      </c>
      <c r="M89" s="480">
        <f>IFERROR(INDEX(EF!$C$79:$C$117,MATCH($C89,EF!$A$79:$A$117,0)),0)</f>
        <v>0</v>
      </c>
      <c r="N89" s="445" t="s">
        <v>96</v>
      </c>
      <c r="O89" s="111"/>
      <c r="P89" s="296"/>
      <c r="R89" s="383"/>
      <c r="S89" s="383"/>
      <c r="T89" s="383"/>
      <c r="U89" s="383"/>
      <c r="V89" s="383"/>
      <c r="W89" s="383"/>
      <c r="X89" s="383"/>
      <c r="Y89" s="383"/>
      <c r="Z89" s="383"/>
      <c r="AA89" s="383"/>
    </row>
    <row r="90" spans="1:27" ht="45" customHeight="1" x14ac:dyDescent="0.35">
      <c r="B90" s="383"/>
      <c r="C90" s="102" t="s">
        <v>93</v>
      </c>
      <c r="D90" s="478" t="s">
        <v>94</v>
      </c>
      <c r="E90" s="385" t="s">
        <v>95</v>
      </c>
      <c r="F90" s="232"/>
      <c r="G90" s="232"/>
      <c r="H90" s="232"/>
      <c r="I90" s="233"/>
      <c r="J90" s="479">
        <f>IFERROR(INDEX(EF!$C$79:$C$117,MATCH($C90,EF!$A$79:$A$117,0)),0)</f>
        <v>0</v>
      </c>
      <c r="K90" s="480">
        <f>IFERROR(INDEX(EF!$C$79:$C$117,MATCH($C90,EF!$A$79:$A$117,0)),0)</f>
        <v>0</v>
      </c>
      <c r="L90" s="480">
        <f>IFERROR(INDEX(EF!$C$79:$C$117,MATCH($C90,EF!$A$79:$A$117,0)),0)</f>
        <v>0</v>
      </c>
      <c r="M90" s="480">
        <f>IFERROR(INDEX(EF!$C$79:$C$117,MATCH($C90,EF!$A$79:$A$117,0)),0)</f>
        <v>0</v>
      </c>
      <c r="N90" s="445" t="s">
        <v>96</v>
      </c>
      <c r="O90" s="111"/>
      <c r="P90" s="383"/>
      <c r="R90" s="383"/>
      <c r="S90" s="383"/>
      <c r="T90" s="383"/>
      <c r="U90" s="383"/>
      <c r="V90" s="383"/>
      <c r="W90" s="383"/>
      <c r="X90" s="383"/>
      <c r="Y90" s="383"/>
      <c r="Z90" s="383"/>
      <c r="AA90" s="383"/>
    </row>
    <row r="91" spans="1:27" ht="45" customHeight="1" x14ac:dyDescent="0.35">
      <c r="B91" s="383"/>
      <c r="C91" s="102" t="s">
        <v>93</v>
      </c>
      <c r="D91" s="478" t="s">
        <v>94</v>
      </c>
      <c r="E91" s="385" t="s">
        <v>95</v>
      </c>
      <c r="F91" s="232"/>
      <c r="G91" s="232"/>
      <c r="H91" s="232"/>
      <c r="I91" s="233"/>
      <c r="J91" s="479">
        <f>IFERROR(INDEX(EF!$C$79:$C$117,MATCH($C91,EF!$A$79:$A$117,0)),0)</f>
        <v>0</v>
      </c>
      <c r="K91" s="480">
        <f>IFERROR(INDEX(EF!$C$79:$C$117,MATCH($C91,EF!$A$79:$A$117,0)),0)</f>
        <v>0</v>
      </c>
      <c r="L91" s="480">
        <f>IFERROR(INDEX(EF!$C$79:$C$117,MATCH($C91,EF!$A$79:$A$117,0)),0)</f>
        <v>0</v>
      </c>
      <c r="M91" s="480">
        <f>IFERROR(INDEX(EF!$C$79:$C$117,MATCH($C91,EF!$A$79:$A$117,0)),0)</f>
        <v>0</v>
      </c>
      <c r="N91" s="445" t="s">
        <v>96</v>
      </c>
      <c r="O91" s="111"/>
      <c r="R91" s="383"/>
      <c r="S91" s="383"/>
      <c r="T91" s="383"/>
      <c r="U91" s="383"/>
      <c r="V91" s="383"/>
      <c r="W91" s="383"/>
      <c r="X91" s="383"/>
      <c r="Y91" s="383"/>
      <c r="Z91" s="383"/>
      <c r="AA91" s="383"/>
    </row>
    <row r="92" spans="1:27" ht="45" customHeight="1" x14ac:dyDescent="0.35">
      <c r="A92" s="3"/>
      <c r="B92" s="383"/>
      <c r="C92" s="102" t="s">
        <v>93</v>
      </c>
      <c r="D92" s="478" t="s">
        <v>94</v>
      </c>
      <c r="E92" s="385" t="s">
        <v>95</v>
      </c>
      <c r="F92" s="232"/>
      <c r="G92" s="232"/>
      <c r="H92" s="232"/>
      <c r="I92" s="233"/>
      <c r="J92" s="479">
        <f>IFERROR(INDEX(EF!$C$79:$C$117,MATCH($C92,EF!$A$79:$A$117,0)),0)</f>
        <v>0</v>
      </c>
      <c r="K92" s="480">
        <f>IFERROR(INDEX(EF!$C$79:$C$117,MATCH($C92,EF!$A$79:$A$117,0)),0)</f>
        <v>0</v>
      </c>
      <c r="L92" s="480">
        <f>IFERROR(INDEX(EF!$C$79:$C$117,MATCH($C92,EF!$A$79:$A$117,0)),0)</f>
        <v>0</v>
      </c>
      <c r="M92" s="480">
        <f>IFERROR(INDEX(EF!$C$79:$C$117,MATCH($C92,EF!$A$79:$A$117,0)),0)</f>
        <v>0</v>
      </c>
      <c r="N92" s="445" t="s">
        <v>96</v>
      </c>
      <c r="O92" s="111"/>
      <c r="R92" s="383"/>
      <c r="S92" s="383"/>
      <c r="T92" s="383"/>
      <c r="U92" s="383"/>
      <c r="V92" s="383"/>
      <c r="W92" s="383"/>
      <c r="X92" s="383"/>
      <c r="Y92" s="383"/>
      <c r="Z92" s="383"/>
      <c r="AA92" s="383"/>
    </row>
    <row r="93" spans="1:27" ht="45" customHeight="1" x14ac:dyDescent="0.35">
      <c r="B93" s="383"/>
      <c r="C93" s="102" t="s">
        <v>93</v>
      </c>
      <c r="D93" s="478" t="s">
        <v>94</v>
      </c>
      <c r="E93" s="385" t="s">
        <v>95</v>
      </c>
      <c r="F93" s="232"/>
      <c r="G93" s="232"/>
      <c r="H93" s="232"/>
      <c r="I93" s="233"/>
      <c r="J93" s="479">
        <f>IFERROR(INDEX(EF!$C$79:$C$117,MATCH($C93,EF!$A$79:$A$117,0)),0)</f>
        <v>0</v>
      </c>
      <c r="K93" s="480">
        <f>IFERROR(INDEX(EF!$C$79:$C$117,MATCH($C93,EF!$A$79:$A$117,0)),0)</f>
        <v>0</v>
      </c>
      <c r="L93" s="480">
        <f>IFERROR(INDEX(EF!$C$79:$C$117,MATCH($C93,EF!$A$79:$A$117,0)),0)</f>
        <v>0</v>
      </c>
      <c r="M93" s="480">
        <f>IFERROR(INDEX(EF!$C$79:$C$117,MATCH($C93,EF!$A$79:$A$117,0)),0)</f>
        <v>0</v>
      </c>
      <c r="N93" s="445" t="s">
        <v>96</v>
      </c>
      <c r="O93" s="111"/>
      <c r="R93" s="383"/>
      <c r="S93" s="453"/>
      <c r="T93" s="453"/>
      <c r="U93" s="453"/>
      <c r="V93" s="453"/>
      <c r="W93" s="453"/>
      <c r="X93" s="453"/>
      <c r="Y93" s="383"/>
      <c r="Z93" s="383"/>
    </row>
    <row r="94" spans="1:27" ht="45" customHeight="1" x14ac:dyDescent="0.35">
      <c r="B94" s="383"/>
      <c r="C94" s="102" t="s">
        <v>93</v>
      </c>
      <c r="D94" s="478" t="s">
        <v>94</v>
      </c>
      <c r="E94" s="385" t="s">
        <v>95</v>
      </c>
      <c r="F94" s="232"/>
      <c r="G94" s="232"/>
      <c r="H94" s="232"/>
      <c r="I94" s="233"/>
      <c r="J94" s="479">
        <f>IFERROR(INDEX(EF!$C$79:$C$117,MATCH($C94,EF!$A$79:$A$117,0)),0)</f>
        <v>0</v>
      </c>
      <c r="K94" s="480">
        <f>IFERROR(INDEX(EF!$C$79:$C$117,MATCH($C94,EF!$A$79:$A$117,0)),0)</f>
        <v>0</v>
      </c>
      <c r="L94" s="480">
        <f>IFERROR(INDEX(EF!$C$79:$C$117,MATCH($C94,EF!$A$79:$A$117,0)),0)</f>
        <v>0</v>
      </c>
      <c r="M94" s="480">
        <f>IFERROR(INDEX(EF!$C$79:$C$117,MATCH($C94,EF!$A$79:$A$117,0)),0)</f>
        <v>0</v>
      </c>
      <c r="N94" s="445" t="s">
        <v>96</v>
      </c>
      <c r="O94" s="111"/>
      <c r="R94" s="383"/>
      <c r="S94" s="383"/>
      <c r="T94" s="383"/>
      <c r="U94" s="383"/>
      <c r="V94" s="383"/>
      <c r="W94" s="383"/>
      <c r="X94" s="383"/>
      <c r="Y94" s="383"/>
      <c r="Z94" s="383"/>
      <c r="AA94" s="383"/>
    </row>
    <row r="95" spans="1:27" ht="45" customHeight="1" x14ac:dyDescent="0.35">
      <c r="B95" s="383"/>
      <c r="C95" s="102" t="s">
        <v>93</v>
      </c>
      <c r="D95" s="478" t="s">
        <v>94</v>
      </c>
      <c r="E95" s="385" t="s">
        <v>95</v>
      </c>
      <c r="F95" s="232"/>
      <c r="G95" s="232"/>
      <c r="H95" s="232"/>
      <c r="I95" s="233"/>
      <c r="J95" s="479">
        <f>IFERROR(INDEX(EF!$C$79:$C$117,MATCH($C95,EF!$A$79:$A$117,0)),0)</f>
        <v>0</v>
      </c>
      <c r="K95" s="480">
        <f>IFERROR(INDEX(EF!$C$79:$C$117,MATCH($C95,EF!$A$79:$A$117,0)),0)</f>
        <v>0</v>
      </c>
      <c r="L95" s="480">
        <f>IFERROR(INDEX(EF!$C$79:$C$117,MATCH($C95,EF!$A$79:$A$117,0)),0)</f>
        <v>0</v>
      </c>
      <c r="M95" s="480">
        <f>IFERROR(INDEX(EF!$C$79:$C$117,MATCH($C95,EF!$A$79:$A$117,0)),0)</f>
        <v>0</v>
      </c>
      <c r="N95" s="445" t="s">
        <v>96</v>
      </c>
      <c r="O95" s="111"/>
      <c r="R95" s="453"/>
    </row>
    <row r="96" spans="1:27" ht="45" customHeight="1" x14ac:dyDescent="0.35">
      <c r="A96" s="3"/>
      <c r="B96" s="383"/>
      <c r="C96" s="102" t="s">
        <v>93</v>
      </c>
      <c r="D96" s="478" t="s">
        <v>94</v>
      </c>
      <c r="E96" s="385" t="s">
        <v>95</v>
      </c>
      <c r="F96" s="234"/>
      <c r="G96" s="234"/>
      <c r="H96" s="234"/>
      <c r="I96" s="235"/>
      <c r="J96" s="479">
        <f>IFERROR(INDEX(EF!$C$79:$C$117,MATCH($C96,EF!$A$79:$A$117,0)),0)</f>
        <v>0</v>
      </c>
      <c r="K96" s="480">
        <f>IFERROR(INDEX(EF!$C$79:$C$117,MATCH($C96,EF!$A$79:$A$117,0)),0)</f>
        <v>0</v>
      </c>
      <c r="L96" s="480">
        <f>IFERROR(INDEX(EF!$C$79:$C$117,MATCH($C96,EF!$A$79:$A$117,0)),0)</f>
        <v>0</v>
      </c>
      <c r="M96" s="480">
        <f>IFERROR(INDEX(EF!$C$79:$C$117,MATCH($C96,EF!$A$79:$A$117,0)),0)</f>
        <v>0</v>
      </c>
      <c r="N96" s="445" t="s">
        <v>96</v>
      </c>
      <c r="O96" s="111"/>
      <c r="R96" s="383"/>
    </row>
    <row r="97" spans="1:27" ht="45" customHeight="1" x14ac:dyDescent="0.35">
      <c r="B97" s="383"/>
      <c r="C97" s="102" t="s">
        <v>93</v>
      </c>
      <c r="D97" s="478" t="s">
        <v>94</v>
      </c>
      <c r="E97" s="385" t="s">
        <v>95</v>
      </c>
      <c r="F97" s="232"/>
      <c r="G97" s="232"/>
      <c r="H97" s="232"/>
      <c r="I97" s="233"/>
      <c r="J97" s="479">
        <f>IFERROR(INDEX(EF!$C$79:$C$117,MATCH($C97,EF!$A$79:$A$117,0)),0)</f>
        <v>0</v>
      </c>
      <c r="K97" s="480">
        <f>IFERROR(INDEX(EF!$C$79:$C$117,MATCH($C97,EF!$A$79:$A$117,0)),0)</f>
        <v>0</v>
      </c>
      <c r="L97" s="480">
        <f>IFERROR(INDEX(EF!$C$79:$C$117,MATCH($C97,EF!$A$79:$A$117,0)),0)</f>
        <v>0</v>
      </c>
      <c r="M97" s="480">
        <f>IFERROR(INDEX(EF!$C$79:$C$117,MATCH($C97,EF!$A$79:$A$117,0)),0)</f>
        <v>0</v>
      </c>
      <c r="N97" s="445" t="s">
        <v>96</v>
      </c>
      <c r="O97" s="111"/>
    </row>
    <row r="98" spans="1:27" ht="45" customHeight="1" x14ac:dyDescent="0.35">
      <c r="B98" s="383"/>
      <c r="C98" s="102" t="s">
        <v>93</v>
      </c>
      <c r="D98" s="478" t="s">
        <v>94</v>
      </c>
      <c r="E98" s="385" t="s">
        <v>95</v>
      </c>
      <c r="F98" s="232"/>
      <c r="G98" s="232"/>
      <c r="H98" s="232"/>
      <c r="I98" s="233"/>
      <c r="J98" s="479">
        <f>IFERROR(INDEX(EF!$C$79:$C$117,MATCH($C98,EF!$A$79:$A$117,0)),0)</f>
        <v>0</v>
      </c>
      <c r="K98" s="480">
        <f>IFERROR(INDEX(EF!$C$79:$C$117,MATCH($C98,EF!$A$79:$A$117,0)),0)</f>
        <v>0</v>
      </c>
      <c r="L98" s="480">
        <f>IFERROR(INDEX(EF!$C$79:$C$117,MATCH($C98,EF!$A$79:$A$117,0)),0)</f>
        <v>0</v>
      </c>
      <c r="M98" s="480">
        <f>IFERROR(INDEX(EF!$C$79:$C$117,MATCH($C98,EF!$A$79:$A$117,0)),0)</f>
        <v>0</v>
      </c>
      <c r="N98" s="445" t="s">
        <v>96</v>
      </c>
      <c r="O98" s="111"/>
    </row>
    <row r="99" spans="1:27" ht="45" customHeight="1" x14ac:dyDescent="0.35">
      <c r="B99" s="383"/>
      <c r="C99" s="869" t="s">
        <v>97</v>
      </c>
      <c r="D99" s="478" t="s">
        <v>98</v>
      </c>
      <c r="E99" s="385" t="s">
        <v>95</v>
      </c>
      <c r="F99" s="232"/>
      <c r="G99" s="232"/>
      <c r="H99" s="232"/>
      <c r="I99" s="233"/>
      <c r="J99" s="209" t="s">
        <v>54</v>
      </c>
      <c r="K99" s="480">
        <f>IF(ISNUMBER(J99),J99,0)</f>
        <v>0</v>
      </c>
      <c r="L99" s="480">
        <f t="shared" ref="L99:M99" si="14">K99</f>
        <v>0</v>
      </c>
      <c r="M99" s="480">
        <f t="shared" si="14"/>
        <v>0</v>
      </c>
      <c r="N99" s="445" t="s">
        <v>96</v>
      </c>
      <c r="O99" s="113" t="s">
        <v>99</v>
      </c>
      <c r="Q99" s="481"/>
    </row>
    <row r="100" spans="1:27" ht="45" customHeight="1" x14ac:dyDescent="0.35">
      <c r="A100" s="3"/>
      <c r="B100" s="383"/>
      <c r="C100" s="869" t="s">
        <v>97</v>
      </c>
      <c r="D100" s="478" t="s">
        <v>98</v>
      </c>
      <c r="E100" s="385" t="s">
        <v>95</v>
      </c>
      <c r="F100" s="232"/>
      <c r="G100" s="232"/>
      <c r="H100" s="232"/>
      <c r="I100" s="233"/>
      <c r="J100" s="209" t="s">
        <v>54</v>
      </c>
      <c r="K100" s="480">
        <f t="shared" ref="K100:K108" si="15">IF(ISNUMBER(J100),J100,0)</f>
        <v>0</v>
      </c>
      <c r="L100" s="480">
        <f t="shared" ref="L100:M100" si="16">K100</f>
        <v>0</v>
      </c>
      <c r="M100" s="480">
        <f t="shared" si="16"/>
        <v>0</v>
      </c>
      <c r="N100" s="445" t="s">
        <v>96</v>
      </c>
      <c r="O100" s="113" t="s">
        <v>99</v>
      </c>
      <c r="Q100" s="481"/>
    </row>
    <row r="101" spans="1:27" ht="45" customHeight="1" x14ac:dyDescent="0.35">
      <c r="B101" s="383"/>
      <c r="C101" s="869" t="s">
        <v>97</v>
      </c>
      <c r="D101" s="478" t="s">
        <v>98</v>
      </c>
      <c r="E101" s="385" t="s">
        <v>95</v>
      </c>
      <c r="F101" s="232"/>
      <c r="G101" s="232"/>
      <c r="H101" s="232"/>
      <c r="I101" s="233"/>
      <c r="J101" s="209" t="s">
        <v>54</v>
      </c>
      <c r="K101" s="480">
        <f t="shared" si="15"/>
        <v>0</v>
      </c>
      <c r="L101" s="480">
        <f t="shared" ref="L101:M101" si="17">K101</f>
        <v>0</v>
      </c>
      <c r="M101" s="480">
        <f t="shared" si="17"/>
        <v>0</v>
      </c>
      <c r="N101" s="445" t="s">
        <v>96</v>
      </c>
      <c r="O101" s="113" t="s">
        <v>99</v>
      </c>
      <c r="P101" s="481"/>
      <c r="Q101" s="481"/>
      <c r="S101" s="123"/>
      <c r="T101" s="123"/>
      <c r="U101" s="123"/>
      <c r="V101" s="123"/>
      <c r="W101" s="126"/>
      <c r="X101" s="383"/>
      <c r="Y101" s="413"/>
      <c r="Z101" s="413"/>
      <c r="AA101" s="413"/>
    </row>
    <row r="102" spans="1:27" ht="45" customHeight="1" x14ac:dyDescent="0.35">
      <c r="B102" s="383"/>
      <c r="C102" s="869" t="s">
        <v>97</v>
      </c>
      <c r="D102" s="478" t="s">
        <v>98</v>
      </c>
      <c r="E102" s="385" t="s">
        <v>95</v>
      </c>
      <c r="F102" s="232"/>
      <c r="G102" s="232"/>
      <c r="H102" s="232"/>
      <c r="I102" s="233"/>
      <c r="J102" s="209" t="s">
        <v>54</v>
      </c>
      <c r="K102" s="480">
        <f t="shared" si="15"/>
        <v>0</v>
      </c>
      <c r="L102" s="480">
        <f t="shared" ref="L102:M102" si="18">K102</f>
        <v>0</v>
      </c>
      <c r="M102" s="480">
        <f t="shared" si="18"/>
        <v>0</v>
      </c>
      <c r="N102" s="445" t="s">
        <v>96</v>
      </c>
      <c r="O102" s="113" t="s">
        <v>99</v>
      </c>
      <c r="P102" s="481"/>
      <c r="Q102" s="481"/>
      <c r="S102" s="123"/>
      <c r="T102" s="123"/>
      <c r="U102" s="123"/>
      <c r="V102" s="123"/>
      <c r="W102" s="126"/>
      <c r="X102" s="383"/>
      <c r="Y102" s="413"/>
      <c r="Z102" s="413"/>
      <c r="AA102" s="413"/>
    </row>
    <row r="103" spans="1:27" ht="45" customHeight="1" x14ac:dyDescent="0.35">
      <c r="B103" s="383"/>
      <c r="C103" s="869" t="s">
        <v>97</v>
      </c>
      <c r="D103" s="478" t="s">
        <v>98</v>
      </c>
      <c r="E103" s="385" t="s">
        <v>95</v>
      </c>
      <c r="F103" s="232"/>
      <c r="G103" s="232"/>
      <c r="H103" s="232"/>
      <c r="I103" s="233"/>
      <c r="J103" s="209" t="s">
        <v>54</v>
      </c>
      <c r="K103" s="480">
        <f t="shared" si="15"/>
        <v>0</v>
      </c>
      <c r="L103" s="480">
        <f t="shared" ref="L103:M103" si="19">K103</f>
        <v>0</v>
      </c>
      <c r="M103" s="480">
        <f t="shared" si="19"/>
        <v>0</v>
      </c>
      <c r="N103" s="445" t="s">
        <v>96</v>
      </c>
      <c r="O103" s="113" t="s">
        <v>99</v>
      </c>
      <c r="P103" s="481"/>
      <c r="Q103" s="481"/>
      <c r="R103" s="383"/>
      <c r="S103" s="123"/>
      <c r="T103" s="123"/>
      <c r="U103" s="123"/>
      <c r="V103" s="123"/>
      <c r="W103" s="126"/>
      <c r="X103" s="383"/>
      <c r="Y103" s="413"/>
      <c r="Z103" s="413"/>
      <c r="AA103" s="413"/>
    </row>
    <row r="104" spans="1:27" ht="45" customHeight="1" x14ac:dyDescent="0.35">
      <c r="B104" s="383"/>
      <c r="C104" s="869" t="s">
        <v>97</v>
      </c>
      <c r="D104" s="478" t="s">
        <v>98</v>
      </c>
      <c r="E104" s="385" t="s">
        <v>95</v>
      </c>
      <c r="F104" s="232"/>
      <c r="G104" s="232"/>
      <c r="H104" s="232"/>
      <c r="I104" s="233"/>
      <c r="J104" s="209" t="s">
        <v>54</v>
      </c>
      <c r="K104" s="480">
        <f t="shared" si="15"/>
        <v>0</v>
      </c>
      <c r="L104" s="480">
        <f t="shared" ref="L104:M104" si="20">K104</f>
        <v>0</v>
      </c>
      <c r="M104" s="480">
        <f t="shared" si="20"/>
        <v>0</v>
      </c>
      <c r="N104" s="445" t="s">
        <v>96</v>
      </c>
      <c r="O104" s="113" t="s">
        <v>99</v>
      </c>
      <c r="P104" s="481"/>
      <c r="Q104" s="481"/>
      <c r="R104" s="383"/>
      <c r="S104" s="123"/>
      <c r="T104" s="123"/>
      <c r="U104" s="123"/>
      <c r="V104" s="123"/>
      <c r="W104" s="126"/>
      <c r="X104" s="383"/>
      <c r="Y104" s="413"/>
      <c r="Z104" s="413"/>
      <c r="AA104" s="413"/>
    </row>
    <row r="105" spans="1:27" ht="45" customHeight="1" x14ac:dyDescent="0.35">
      <c r="A105" s="3"/>
      <c r="B105" s="383"/>
      <c r="C105" s="869" t="s">
        <v>97</v>
      </c>
      <c r="D105" s="478" t="s">
        <v>98</v>
      </c>
      <c r="E105" s="385" t="s">
        <v>95</v>
      </c>
      <c r="F105" s="232"/>
      <c r="G105" s="232"/>
      <c r="H105" s="232"/>
      <c r="I105" s="233"/>
      <c r="J105" s="209" t="s">
        <v>54</v>
      </c>
      <c r="K105" s="480">
        <f t="shared" si="15"/>
        <v>0</v>
      </c>
      <c r="L105" s="480">
        <f t="shared" ref="L105:M105" si="21">K105</f>
        <v>0</v>
      </c>
      <c r="M105" s="480">
        <f t="shared" si="21"/>
        <v>0</v>
      </c>
      <c r="N105" s="445" t="s">
        <v>96</v>
      </c>
      <c r="O105" s="113" t="s">
        <v>99</v>
      </c>
      <c r="P105" s="481"/>
      <c r="Q105" s="481"/>
      <c r="R105" s="383"/>
      <c r="S105" s="123"/>
      <c r="T105" s="123"/>
      <c r="U105" s="123"/>
      <c r="V105" s="123"/>
      <c r="W105" s="126"/>
      <c r="X105" s="383"/>
      <c r="Y105" s="413"/>
      <c r="Z105" s="413"/>
      <c r="AA105" s="413"/>
    </row>
    <row r="106" spans="1:27" ht="45" customHeight="1" x14ac:dyDescent="0.35">
      <c r="B106" s="383"/>
      <c r="C106" s="869" t="s">
        <v>97</v>
      </c>
      <c r="D106" s="478" t="s">
        <v>98</v>
      </c>
      <c r="E106" s="385" t="s">
        <v>95</v>
      </c>
      <c r="F106" s="232"/>
      <c r="G106" s="232"/>
      <c r="H106" s="232"/>
      <c r="I106" s="233"/>
      <c r="J106" s="209" t="s">
        <v>54</v>
      </c>
      <c r="K106" s="480">
        <f t="shared" si="15"/>
        <v>0</v>
      </c>
      <c r="L106" s="480">
        <f t="shared" ref="L106:M106" si="22">K106</f>
        <v>0</v>
      </c>
      <c r="M106" s="480">
        <f t="shared" si="22"/>
        <v>0</v>
      </c>
      <c r="N106" s="445" t="s">
        <v>96</v>
      </c>
      <c r="O106" s="113" t="s">
        <v>99</v>
      </c>
      <c r="P106" s="481"/>
      <c r="Q106" s="481"/>
      <c r="R106" s="383"/>
      <c r="S106" s="123"/>
      <c r="T106" s="123"/>
      <c r="U106" s="123"/>
      <c r="V106" s="123"/>
      <c r="W106" s="126"/>
      <c r="X106" s="383"/>
      <c r="Y106" s="413"/>
      <c r="Z106" s="413"/>
      <c r="AA106" s="413"/>
    </row>
    <row r="107" spans="1:27" ht="45" customHeight="1" x14ac:dyDescent="0.35">
      <c r="B107" s="383"/>
      <c r="C107" s="869" t="s">
        <v>97</v>
      </c>
      <c r="D107" s="478" t="s">
        <v>98</v>
      </c>
      <c r="E107" s="385" t="s">
        <v>95</v>
      </c>
      <c r="F107" s="232"/>
      <c r="G107" s="232"/>
      <c r="H107" s="232"/>
      <c r="I107" s="233"/>
      <c r="J107" s="209" t="s">
        <v>54</v>
      </c>
      <c r="K107" s="480">
        <f t="shared" si="15"/>
        <v>0</v>
      </c>
      <c r="L107" s="480">
        <f t="shared" ref="L107:M107" si="23">K107</f>
        <v>0</v>
      </c>
      <c r="M107" s="480">
        <f t="shared" si="23"/>
        <v>0</v>
      </c>
      <c r="N107" s="445" t="s">
        <v>96</v>
      </c>
      <c r="O107" s="113" t="s">
        <v>99</v>
      </c>
      <c r="P107" s="481"/>
      <c r="Q107" s="481"/>
      <c r="R107" s="383"/>
      <c r="S107" s="383"/>
      <c r="T107" s="383"/>
      <c r="U107" s="383"/>
      <c r="V107" s="383"/>
      <c r="W107" s="383"/>
      <c r="X107" s="383"/>
      <c r="Y107" s="383"/>
      <c r="Z107" s="383"/>
      <c r="AA107" s="383"/>
    </row>
    <row r="108" spans="1:27" ht="45" customHeight="1" thickBot="1" x14ac:dyDescent="0.4">
      <c r="B108" s="383"/>
      <c r="C108" s="870" t="s">
        <v>97</v>
      </c>
      <c r="D108" s="482" t="s">
        <v>98</v>
      </c>
      <c r="E108" s="380" t="s">
        <v>95</v>
      </c>
      <c r="F108" s="236"/>
      <c r="G108" s="236"/>
      <c r="H108" s="236"/>
      <c r="I108" s="237"/>
      <c r="J108" s="210" t="s">
        <v>54</v>
      </c>
      <c r="K108" s="470">
        <f t="shared" si="15"/>
        <v>0</v>
      </c>
      <c r="L108" s="470">
        <f t="shared" ref="L108:M108" si="24">K108</f>
        <v>0</v>
      </c>
      <c r="M108" s="470">
        <f t="shared" si="24"/>
        <v>0</v>
      </c>
      <c r="N108" s="433" t="s">
        <v>96</v>
      </c>
      <c r="O108" s="114" t="s">
        <v>99</v>
      </c>
      <c r="P108" s="481"/>
      <c r="Q108" s="481"/>
      <c r="R108" s="383"/>
      <c r="S108" s="383"/>
      <c r="T108" s="383"/>
      <c r="U108" s="383"/>
      <c r="V108" s="383"/>
      <c r="W108" s="383"/>
      <c r="X108" s="383"/>
      <c r="Y108" s="383"/>
      <c r="Z108" s="383"/>
      <c r="AA108" s="383"/>
    </row>
    <row r="109" spans="1:27" ht="45" customHeight="1" x14ac:dyDescent="0.35">
      <c r="B109" s="383"/>
      <c r="C109" s="483"/>
      <c r="D109" s="483"/>
      <c r="E109" s="453"/>
      <c r="F109" s="125"/>
      <c r="G109" s="125"/>
      <c r="H109" s="125"/>
      <c r="I109" s="125"/>
      <c r="J109" s="481"/>
      <c r="K109" s="453"/>
      <c r="L109" s="481"/>
      <c r="M109" s="481"/>
      <c r="N109" s="454"/>
      <c r="O109" s="483"/>
      <c r="P109" s="481"/>
      <c r="Q109" s="481"/>
      <c r="R109" s="383"/>
    </row>
    <row r="110" spans="1:27" ht="45" customHeight="1" thickBot="1" x14ac:dyDescent="0.4">
      <c r="O110" s="120"/>
      <c r="P110" s="481"/>
      <c r="Q110" s="383"/>
      <c r="R110" s="383"/>
    </row>
    <row r="111" spans="1:27" ht="45" customHeight="1" thickBot="1" x14ac:dyDescent="0.55000000000000004">
      <c r="C111" s="362" t="s">
        <v>1201</v>
      </c>
      <c r="D111" s="363"/>
      <c r="E111" s="364"/>
      <c r="F111" s="364"/>
      <c r="G111" s="364"/>
      <c r="H111" s="364"/>
      <c r="I111" s="364"/>
      <c r="J111" s="364"/>
      <c r="K111" s="364"/>
      <c r="L111" s="365"/>
      <c r="M111" s="365"/>
      <c r="N111" s="121"/>
      <c r="O111" s="366" t="s">
        <v>1423</v>
      </c>
      <c r="P111" s="481"/>
      <c r="Q111" s="453"/>
    </row>
    <row r="112" spans="1:27" ht="45" customHeight="1" x14ac:dyDescent="0.35">
      <c r="C112" s="902" t="s">
        <v>100</v>
      </c>
      <c r="D112" s="903"/>
      <c r="E112" s="904"/>
      <c r="F112" s="367" t="s">
        <v>32</v>
      </c>
      <c r="G112" s="368" t="s">
        <v>33</v>
      </c>
      <c r="H112" s="369"/>
      <c r="I112" s="369"/>
      <c r="J112" s="908" t="s">
        <v>34</v>
      </c>
      <c r="K112" s="909"/>
      <c r="L112" s="909"/>
      <c r="M112" s="909"/>
      <c r="N112" s="910"/>
      <c r="O112" s="484" t="s">
        <v>36</v>
      </c>
      <c r="Q112" s="383"/>
    </row>
    <row r="113" spans="2:27" ht="45" customHeight="1" x14ac:dyDescent="0.35">
      <c r="C113" s="905" t="s">
        <v>1357</v>
      </c>
      <c r="D113" s="906"/>
      <c r="E113" s="907"/>
      <c r="F113" s="425">
        <v>2023</v>
      </c>
      <c r="G113" s="425">
        <v>2025</v>
      </c>
      <c r="H113" s="425">
        <f t="shared" ref="H113:I113" si="25">G113+5</f>
        <v>2030</v>
      </c>
      <c r="I113" s="426">
        <f t="shared" si="25"/>
        <v>2035</v>
      </c>
      <c r="J113" s="374">
        <v>2023</v>
      </c>
      <c r="K113" s="375">
        <v>2025</v>
      </c>
      <c r="L113" s="375">
        <v>2030</v>
      </c>
      <c r="M113" s="375">
        <v>2035</v>
      </c>
      <c r="N113" s="376" t="s">
        <v>35</v>
      </c>
      <c r="O113" s="440"/>
    </row>
    <row r="114" spans="2:27" ht="45" customHeight="1" x14ac:dyDescent="0.35">
      <c r="C114" s="384" t="s">
        <v>101</v>
      </c>
      <c r="D114" s="385" t="s">
        <v>1157</v>
      </c>
      <c r="E114" s="385" t="s">
        <v>39</v>
      </c>
      <c r="F114" s="226">
        <f>SUM(F115:F121)</f>
        <v>0</v>
      </c>
      <c r="G114" s="226">
        <f t="shared" ref="G114:I114" si="26">SUM(G115:G121)</f>
        <v>0</v>
      </c>
      <c r="H114" s="226">
        <f t="shared" si="26"/>
        <v>0</v>
      </c>
      <c r="I114" s="226">
        <f t="shared" si="26"/>
        <v>0</v>
      </c>
      <c r="J114" s="919" t="s">
        <v>1358</v>
      </c>
      <c r="K114" s="920"/>
      <c r="L114" s="920"/>
      <c r="M114" s="920"/>
      <c r="N114" s="921"/>
      <c r="O114" s="104"/>
    </row>
    <row r="115" spans="2:27" ht="45" customHeight="1" x14ac:dyDescent="0.35">
      <c r="C115" s="399" t="s">
        <v>44</v>
      </c>
      <c r="D115" s="385" t="s">
        <v>102</v>
      </c>
      <c r="E115" s="385" t="s">
        <v>39</v>
      </c>
      <c r="F115" s="227">
        <f>F33</f>
        <v>0</v>
      </c>
      <c r="G115" s="227">
        <f>G33</f>
        <v>0</v>
      </c>
      <c r="H115" s="227">
        <f>H33</f>
        <v>0</v>
      </c>
      <c r="I115" s="228">
        <f>I33</f>
        <v>0</v>
      </c>
      <c r="J115" s="485">
        <f>IFERROR(INDEX(EF!$D$40:$D$49,MATCH("Naturgas",EF!$A$40:$A$49,0)),"")</f>
        <v>2.3780570454545454E-2</v>
      </c>
      <c r="K115" s="391">
        <f>IFERROR(INDEX(EF!$F$40:$F$49,MATCH("Naturgas",EF!$A$40:$A$49,0)),"")</f>
        <v>2.2506628787878791E-2</v>
      </c>
      <c r="L115" s="391">
        <f>IFERROR(INDEX(EF!$H$40:$H$49,MATCH("Naturgas",EF!$A$40:$A$49,0)),"")</f>
        <v>1.6715984848484852E-2</v>
      </c>
      <c r="M115" s="391">
        <f>IFERROR(INDEX(EF!$J$40:$J$49,MATCH("Naturgas",EF!$A$40:$A$49,0)),"")</f>
        <v>1.6715984848484852E-2</v>
      </c>
      <c r="N115" s="445" t="s">
        <v>42</v>
      </c>
      <c r="O115" s="111"/>
    </row>
    <row r="116" spans="2:27" ht="45" customHeight="1" x14ac:dyDescent="0.35">
      <c r="C116" s="399" t="s">
        <v>49</v>
      </c>
      <c r="D116" s="385" t="s">
        <v>102</v>
      </c>
      <c r="E116" s="385" t="s">
        <v>39</v>
      </c>
      <c r="F116" s="227">
        <f t="shared" ref="F116:I118" si="27">F35</f>
        <v>0</v>
      </c>
      <c r="G116" s="227">
        <f t="shared" si="27"/>
        <v>0</v>
      </c>
      <c r="H116" s="227">
        <f t="shared" si="27"/>
        <v>0</v>
      </c>
      <c r="I116" s="228">
        <f t="shared" si="27"/>
        <v>0</v>
      </c>
      <c r="J116" s="485">
        <f>IFERROR(INDEX(EF!$D$40:$D$49,MATCH("Fyringsolie (gasolie)",EF!$A$40:$A$49,0)),"")</f>
        <v>6.2044554455445551E-2</v>
      </c>
      <c r="K116" s="391">
        <f>IFERROR(INDEX(EF!$F$40:$F$49,MATCH("Fyringsolie (gasolie)",EF!$A$40:$A$49,0)),"")</f>
        <v>6.2079207920792079E-2</v>
      </c>
      <c r="L116" s="391">
        <f>IFERROR(INDEX(EF!$H$40:$H$49,MATCH("Fyringsolie (gasolie)",EF!$A$40:$A$49,0)),"")</f>
        <v>6.2079207920792079E-2</v>
      </c>
      <c r="M116" s="391">
        <f>IFERROR(INDEX(EF!$J$40:$J$49,MATCH("Fyringsolie (gasolie)",EF!$A$40:$A$49,0)),"")</f>
        <v>6.2079207920792079E-2</v>
      </c>
      <c r="N116" s="445" t="s">
        <v>42</v>
      </c>
      <c r="O116" s="111"/>
    </row>
    <row r="117" spans="2:27" ht="45" customHeight="1" x14ac:dyDescent="0.35">
      <c r="C117" s="399" t="str">
        <f>C36</f>
        <v>Købt fuelolie</v>
      </c>
      <c r="D117" s="385" t="s">
        <v>103</v>
      </c>
      <c r="E117" s="385" t="s">
        <v>39</v>
      </c>
      <c r="F117" s="227">
        <f t="shared" si="27"/>
        <v>0</v>
      </c>
      <c r="G117" s="227">
        <f t="shared" si="27"/>
        <v>0</v>
      </c>
      <c r="H117" s="227">
        <f t="shared" si="27"/>
        <v>0</v>
      </c>
      <c r="I117" s="228">
        <f t="shared" si="27"/>
        <v>0</v>
      </c>
      <c r="J117" s="485">
        <f>IFERROR(INDEX(EF!$D$40:$D$49,MATCH("Fuelolie",EF!$A$40:$A$49,0)),"")</f>
        <v>6.2647747747747742E-2</v>
      </c>
      <c r="K117" s="391">
        <f>IFERROR(INDEX(EF!$F$40:$F$49,MATCH("Fuelolie",EF!$A$40:$A$49,0)),"")</f>
        <v>6.2612612612612611E-2</v>
      </c>
      <c r="L117" s="391">
        <f>IFERROR(INDEX(EF!$H$40:$H$49,MATCH("Fuelolie",EF!$A$40:$A$49,0)),"")</f>
        <v>6.2612612612612611E-2</v>
      </c>
      <c r="M117" s="391">
        <f>IFERROR(INDEX(EF!$J$40:$J$49,MATCH("Fuelolie",EF!$A$40:$A$49,0)),"")</f>
        <v>6.2612612612612611E-2</v>
      </c>
      <c r="N117" s="445" t="s">
        <v>42</v>
      </c>
      <c r="O117" s="111"/>
    </row>
    <row r="118" spans="2:27" ht="45" customHeight="1" x14ac:dyDescent="0.35">
      <c r="B118" s="383"/>
      <c r="C118" s="487" t="s">
        <v>52</v>
      </c>
      <c r="D118" s="385" t="s">
        <v>102</v>
      </c>
      <c r="E118" s="385" t="s">
        <v>39</v>
      </c>
      <c r="F118" s="227">
        <f t="shared" si="27"/>
        <v>0</v>
      </c>
      <c r="G118" s="227">
        <f t="shared" si="27"/>
        <v>0</v>
      </c>
      <c r="H118" s="227">
        <f t="shared" si="27"/>
        <v>0</v>
      </c>
      <c r="I118" s="228">
        <f t="shared" si="27"/>
        <v>0</v>
      </c>
      <c r="J118" s="229" t="s">
        <v>104</v>
      </c>
      <c r="K118" s="391">
        <f>IF(ISNUMBER(J118),J118,0)</f>
        <v>0</v>
      </c>
      <c r="L118" s="391">
        <f t="shared" ref="L118:M118" si="28">IF(ISNUMBER(K118),K118,"")</f>
        <v>0</v>
      </c>
      <c r="M118" s="391">
        <f t="shared" si="28"/>
        <v>0</v>
      </c>
      <c r="N118" s="445" t="s">
        <v>42</v>
      </c>
      <c r="O118" s="111"/>
      <c r="S118" s="383"/>
      <c r="T118" s="383"/>
      <c r="U118" s="383"/>
      <c r="V118" s="383"/>
      <c r="W118" s="383"/>
      <c r="X118" s="383"/>
      <c r="Y118" s="383"/>
      <c r="Z118" s="383"/>
      <c r="AA118" s="383"/>
    </row>
    <row r="119" spans="2:27" ht="45" customHeight="1" x14ac:dyDescent="0.35">
      <c r="C119" s="487" t="s">
        <v>58</v>
      </c>
      <c r="D119" s="385" t="s">
        <v>102</v>
      </c>
      <c r="E119" s="385" t="s">
        <v>39</v>
      </c>
      <c r="F119" s="227">
        <f t="shared" ref="F119:I121" si="29">F39</f>
        <v>0</v>
      </c>
      <c r="G119" s="227">
        <f t="shared" si="29"/>
        <v>0</v>
      </c>
      <c r="H119" s="227">
        <f t="shared" si="29"/>
        <v>0</v>
      </c>
      <c r="I119" s="228">
        <f t="shared" si="29"/>
        <v>0</v>
      </c>
      <c r="J119" s="485">
        <f>IFERROR(INDEX(EF!$D$40:$D$49,MATCH("Træpiller",EF!$A$40:$A$49,0)),"")</f>
        <v>3.6419753086419752E-2</v>
      </c>
      <c r="K119" s="391">
        <f>IFERROR(INDEX(EF!$F$40:$F$49,MATCH("Træpiller",EF!$A$40:$A$49,0)),"")</f>
        <v>3.6419753086419752E-2</v>
      </c>
      <c r="L119" s="391">
        <f>IFERROR(INDEX(EF!$H$40:$H$49,MATCH("Træpiller",EF!$A$40:$A$49,0)),"")</f>
        <v>3.6419753086419752E-2</v>
      </c>
      <c r="M119" s="391">
        <f>IFERROR(INDEX(EF!$J$40:$J$49,MATCH("Træpiller",EF!$A$40:$A$49,0)),"")</f>
        <v>3.6419753086419752E-2</v>
      </c>
      <c r="N119" s="445" t="s">
        <v>42</v>
      </c>
      <c r="O119" s="111"/>
      <c r="Q119" s="415"/>
    </row>
    <row r="120" spans="2:27" ht="45" customHeight="1" x14ac:dyDescent="0.35">
      <c r="C120" s="487" t="s">
        <v>61</v>
      </c>
      <c r="D120" s="385" t="s">
        <v>102</v>
      </c>
      <c r="E120" s="385" t="s">
        <v>39</v>
      </c>
      <c r="F120" s="227">
        <f t="shared" si="29"/>
        <v>0</v>
      </c>
      <c r="G120" s="227">
        <f t="shared" si="29"/>
        <v>0</v>
      </c>
      <c r="H120" s="227">
        <f t="shared" si="29"/>
        <v>0</v>
      </c>
      <c r="I120" s="228">
        <f t="shared" si="29"/>
        <v>0</v>
      </c>
      <c r="J120" s="485">
        <f>IFERROR(INDEX(EF!$D$40:$D$49,MATCH("Træflis",EF!$A$40:$A$49,0)),"")</f>
        <v>1.0519031141868512E-2</v>
      </c>
      <c r="K120" s="391">
        <f>IFERROR(INDEX(EF!$F$40:$F$49,MATCH("Træflis",EF!$A$40:$A$49,0)),"")</f>
        <v>1.0519031141868512E-2</v>
      </c>
      <c r="L120" s="391">
        <f>IFERROR(INDEX(EF!$H$40:$H$49,MATCH("Træflis",EF!$A$40:$A$49,0)),"")</f>
        <v>1.0519031141868512E-2</v>
      </c>
      <c r="M120" s="391">
        <f>IFERROR(INDEX(EF!$J$40:$J$49,MATCH("Træflis",EF!$A$40:$A$49,0)),"")</f>
        <v>1.0519031141868512E-2</v>
      </c>
      <c r="N120" s="445" t="s">
        <v>42</v>
      </c>
      <c r="O120" s="111"/>
      <c r="Q120" s="415"/>
      <c r="R120" s="383"/>
      <c r="S120" s="453"/>
      <c r="T120" s="453"/>
      <c r="U120" s="453"/>
      <c r="V120" s="453"/>
      <c r="W120" s="453"/>
      <c r="X120" s="453"/>
      <c r="Y120" s="383"/>
      <c r="Z120" s="383"/>
    </row>
    <row r="121" spans="2:27" ht="45" customHeight="1" x14ac:dyDescent="0.35">
      <c r="C121" s="487" t="s">
        <v>64</v>
      </c>
      <c r="D121" s="385" t="s">
        <v>102</v>
      </c>
      <c r="E121" s="385" t="s">
        <v>39</v>
      </c>
      <c r="F121" s="227">
        <f t="shared" si="29"/>
        <v>0</v>
      </c>
      <c r="G121" s="227">
        <f t="shared" si="29"/>
        <v>0</v>
      </c>
      <c r="H121" s="227">
        <f t="shared" si="29"/>
        <v>0</v>
      </c>
      <c r="I121" s="228">
        <f t="shared" si="29"/>
        <v>0</v>
      </c>
      <c r="J121" s="485">
        <f>IFERROR(INDEX(EF!$D$40:$D$49,MATCH("Halm",EF!$A$40:$A$49,0)),"")</f>
        <v>1.7034739454094294E-2</v>
      </c>
      <c r="K121" s="391">
        <f>IFERROR(INDEX(EF!$F$40:$F$49,MATCH("Halm",EF!$A$40:$A$49,0)),"")</f>
        <v>1.7047146401985111E-2</v>
      </c>
      <c r="L121" s="391">
        <f>IFERROR(INDEX(EF!$H$40:$H$49,MATCH("Halm",EF!$A$40:$A$49,0)),"")</f>
        <v>1.7047146401985111E-2</v>
      </c>
      <c r="M121" s="391">
        <f>IFERROR(INDEX(EF!$J$40:$J$49,MATCH("Halm",EF!$A$40:$A$49,0)),"")</f>
        <v>1.7047146401985111E-2</v>
      </c>
      <c r="N121" s="445" t="s">
        <v>42</v>
      </c>
      <c r="O121" s="111"/>
      <c r="Q121" s="415"/>
    </row>
    <row r="122" spans="2:27" ht="45" customHeight="1" x14ac:dyDescent="0.35">
      <c r="C122" s="488" t="s">
        <v>105</v>
      </c>
      <c r="D122" s="385" t="s">
        <v>1158</v>
      </c>
      <c r="E122" s="385" t="s">
        <v>81</v>
      </c>
      <c r="F122" s="227">
        <f>SUM(F123:F124)</f>
        <v>0</v>
      </c>
      <c r="G122" s="227">
        <f t="shared" ref="G122:I122" si="30">SUM(G123:G124)</f>
        <v>0</v>
      </c>
      <c r="H122" s="227">
        <f t="shared" si="30"/>
        <v>0</v>
      </c>
      <c r="I122" s="227">
        <f t="shared" si="30"/>
        <v>0</v>
      </c>
      <c r="J122" s="919" t="s">
        <v>1358</v>
      </c>
      <c r="K122" s="920"/>
      <c r="L122" s="920"/>
      <c r="M122" s="920"/>
      <c r="N122" s="921"/>
      <c r="O122" s="111"/>
      <c r="Q122" s="415"/>
      <c r="R122" s="453"/>
    </row>
    <row r="123" spans="2:27" ht="45" customHeight="1" x14ac:dyDescent="0.35">
      <c r="C123" s="489" t="s">
        <v>79</v>
      </c>
      <c r="D123" s="385" t="s">
        <v>102</v>
      </c>
      <c r="E123" s="385" t="s">
        <v>81</v>
      </c>
      <c r="F123" s="227">
        <f t="shared" ref="F123:I124" si="31">F55</f>
        <v>0</v>
      </c>
      <c r="G123" s="227">
        <f t="shared" si="31"/>
        <v>0</v>
      </c>
      <c r="H123" s="227">
        <f t="shared" si="31"/>
        <v>0</v>
      </c>
      <c r="I123" s="228">
        <f t="shared" si="31"/>
        <v>0</v>
      </c>
      <c r="J123" s="490">
        <f>IFERROR(INDEX(EF!$D$24:$D$33,MATCH("Diesel",EF!$A$24:$A33,0)),"")</f>
        <v>0.62409000000000003</v>
      </c>
      <c r="K123" s="391">
        <f>IFERROR(INDEX(EF!$F$24:$F$33,MATCH("Diesel",EF!$A$24:$A$33,0)),"")</f>
        <v>0.62409000000000003</v>
      </c>
      <c r="L123" s="391">
        <f>IFERROR(INDEX(EF!$H$24:$H$33,MATCH("Diesel",EF!$A$24:$A$33,0)),"")</f>
        <v>0.62409000000000003</v>
      </c>
      <c r="M123" s="391">
        <f>IFERROR(INDEX(EF!$J$24:$J$33,MATCH("Diesel",EF!$A$24:$A$33,0)),"")</f>
        <v>0.62409000000000003</v>
      </c>
      <c r="N123" s="445" t="s">
        <v>42</v>
      </c>
      <c r="O123" s="111"/>
      <c r="Q123" s="415"/>
    </row>
    <row r="124" spans="2:27" ht="45" customHeight="1" thickBot="1" x14ac:dyDescent="0.4">
      <c r="C124" s="491" t="s">
        <v>84</v>
      </c>
      <c r="D124" s="385" t="s">
        <v>102</v>
      </c>
      <c r="E124" s="385" t="s">
        <v>81</v>
      </c>
      <c r="F124" s="227">
        <f t="shared" si="31"/>
        <v>0</v>
      </c>
      <c r="G124" s="227">
        <f t="shared" si="31"/>
        <v>0</v>
      </c>
      <c r="H124" s="227">
        <f t="shared" si="31"/>
        <v>0</v>
      </c>
      <c r="I124" s="228">
        <f t="shared" si="31"/>
        <v>0</v>
      </c>
      <c r="J124" s="490">
        <f>IFERROR(INDEX(EF!$D$24:$D$33,MATCH("Benzin",EF!$A$24:$A34,0)),"")</f>
        <v>0.60663999999999996</v>
      </c>
      <c r="K124" s="391">
        <f>IFERROR(INDEX(EF!$F$24:$F$33,MATCH("Benzin",EF!$A$24:$A$33,0)),"")</f>
        <v>0.60663999999999996</v>
      </c>
      <c r="L124" s="391">
        <f>IFERROR(INDEX(EF!$H$24:$H$33,MATCH("Benzin",EF!$A$24:$A$33,0)),"")</f>
        <v>0.60663999999999996</v>
      </c>
      <c r="M124" s="391">
        <f>IFERROR(INDEX(EF!$J$24:$J$33,MATCH("Benzin",EF!$A$24:$A$33,0)),"")</f>
        <v>0.60663999999999996</v>
      </c>
      <c r="N124" s="445" t="s">
        <v>42</v>
      </c>
      <c r="O124" s="111"/>
      <c r="Q124" s="415"/>
    </row>
    <row r="125" spans="2:27" ht="45" customHeight="1" x14ac:dyDescent="0.35">
      <c r="C125" s="384" t="s">
        <v>40</v>
      </c>
      <c r="D125" s="385" t="s">
        <v>106</v>
      </c>
      <c r="E125" s="385" t="s">
        <v>39</v>
      </c>
      <c r="F125" s="227">
        <f>F32</f>
        <v>0</v>
      </c>
      <c r="G125" s="227">
        <f>G32</f>
        <v>0</v>
      </c>
      <c r="H125" s="227">
        <f>H32</f>
        <v>0</v>
      </c>
      <c r="I125" s="228">
        <f>I32</f>
        <v>0</v>
      </c>
      <c r="J125" s="490">
        <f>J64*0.25</f>
        <v>1.1967016354500596E-2</v>
      </c>
      <c r="K125" s="391">
        <f>K64*0.25</f>
        <v>9.2392910906094316E-3</v>
      </c>
      <c r="L125" s="391">
        <f>L64*0.25</f>
        <v>4.7235525124099242E-3</v>
      </c>
      <c r="M125" s="391">
        <f>M64*0.25</f>
        <v>2.9349081850544405E-3</v>
      </c>
      <c r="N125" s="445" t="s">
        <v>42</v>
      </c>
      <c r="O125" s="111"/>
      <c r="Q125" s="383"/>
    </row>
    <row r="126" spans="2:27" ht="45" customHeight="1" thickBot="1" x14ac:dyDescent="0.4">
      <c r="C126" s="492" t="s">
        <v>87</v>
      </c>
      <c r="D126" s="380" t="s">
        <v>106</v>
      </c>
      <c r="E126" s="380" t="s">
        <v>39</v>
      </c>
      <c r="F126" s="230">
        <f>F70</f>
        <v>0</v>
      </c>
      <c r="G126" s="230">
        <f>G70</f>
        <v>0</v>
      </c>
      <c r="H126" s="230">
        <f>H70</f>
        <v>0</v>
      </c>
      <c r="I126" s="231">
        <f>I70</f>
        <v>0</v>
      </c>
      <c r="J126" s="493">
        <f>IF($D$69="DK øst",EF!D54,EF!D55)</f>
        <v>5.8930000000000003E-2</v>
      </c>
      <c r="K126" s="465">
        <f>IF($D$69="DK øst",EF!F54,EF!F55)</f>
        <v>5.781E-2</v>
      </c>
      <c r="L126" s="465">
        <f>IF($D$69="DK øst",EF!H54,EF!H55)</f>
        <v>5.7020000000000001E-2</v>
      </c>
      <c r="M126" s="465">
        <f>IF($D$69="DK øst",EF!J54,EF!J55)</f>
        <v>5.6919999999999998E-2</v>
      </c>
      <c r="N126" s="433" t="s">
        <v>42</v>
      </c>
      <c r="O126" s="112"/>
      <c r="Q126" s="383"/>
    </row>
    <row r="127" spans="2:27" ht="45" customHeight="1" x14ac:dyDescent="0.35">
      <c r="O127" s="120"/>
    </row>
    <row r="128" spans="2:27" ht="45" customHeight="1" x14ac:dyDescent="0.35">
      <c r="B128" s="383"/>
      <c r="C128" s="383"/>
      <c r="D128" s="383"/>
      <c r="E128" s="383"/>
      <c r="F128" s="383"/>
      <c r="G128" s="383"/>
      <c r="H128" s="383"/>
      <c r="I128" s="383"/>
      <c r="J128" s="383"/>
      <c r="K128" s="383"/>
      <c r="L128" s="383"/>
      <c r="M128" s="383"/>
      <c r="O128" s="389"/>
    </row>
    <row r="129" spans="2:16" ht="45" customHeight="1" x14ac:dyDescent="0.5">
      <c r="B129" s="450" t="s">
        <v>1432</v>
      </c>
      <c r="C129" s="476"/>
      <c r="D129" s="476"/>
      <c r="E129" s="476"/>
      <c r="F129" s="476"/>
      <c r="G129" s="476"/>
      <c r="H129" s="476"/>
      <c r="I129" s="476"/>
      <c r="J129" s="476"/>
      <c r="K129" s="476"/>
      <c r="L129" s="476"/>
      <c r="M129" s="476"/>
      <c r="N129" s="476"/>
      <c r="O129" s="477"/>
      <c r="P129" s="382"/>
    </row>
    <row r="130" spans="2:16" ht="45" customHeight="1" thickBot="1" x14ac:dyDescent="0.4">
      <c r="O130" s="120"/>
    </row>
    <row r="131" spans="2:16" ht="45" customHeight="1" thickBot="1" x14ac:dyDescent="0.55000000000000004">
      <c r="C131" s="362" t="s">
        <v>107</v>
      </c>
      <c r="D131" s="363"/>
      <c r="E131" s="364"/>
      <c r="F131" s="364"/>
      <c r="G131" s="364"/>
      <c r="H131" s="364"/>
      <c r="I131" s="364"/>
      <c r="J131" s="417"/>
      <c r="K131" s="417"/>
      <c r="L131" s="418"/>
      <c r="M131" s="418"/>
      <c r="N131" s="419"/>
      <c r="O131" s="366" t="s">
        <v>1425</v>
      </c>
    </row>
    <row r="132" spans="2:16" ht="45" customHeight="1" x14ac:dyDescent="0.35">
      <c r="C132" s="902" t="s">
        <v>108</v>
      </c>
      <c r="D132" s="903"/>
      <c r="E132" s="904"/>
      <c r="F132" s="420" t="s">
        <v>32</v>
      </c>
      <c r="G132" s="421"/>
      <c r="H132" s="422" t="s">
        <v>33</v>
      </c>
      <c r="I132" s="422"/>
      <c r="J132" s="908" t="s">
        <v>34</v>
      </c>
      <c r="K132" s="909"/>
      <c r="L132" s="909"/>
      <c r="M132" s="909"/>
      <c r="N132" s="910"/>
      <c r="O132" s="438" t="s">
        <v>36</v>
      </c>
    </row>
    <row r="133" spans="2:16" ht="45" customHeight="1" x14ac:dyDescent="0.35">
      <c r="C133" s="468"/>
      <c r="D133" s="457"/>
      <c r="E133" s="458"/>
      <c r="F133" s="425">
        <v>2023</v>
      </c>
      <c r="G133" s="425">
        <v>2025</v>
      </c>
      <c r="H133" s="425">
        <f>G133+5</f>
        <v>2030</v>
      </c>
      <c r="I133" s="426">
        <f>H133+5</f>
        <v>2035</v>
      </c>
      <c r="J133" s="374">
        <v>2023</v>
      </c>
      <c r="K133" s="375">
        <v>2025</v>
      </c>
      <c r="L133" s="375">
        <v>2030</v>
      </c>
      <c r="M133" s="375">
        <v>2035</v>
      </c>
      <c r="N133" s="376" t="s">
        <v>35</v>
      </c>
      <c r="O133" s="440"/>
    </row>
    <row r="134" spans="2:16" ht="45" customHeight="1" x14ac:dyDescent="0.35">
      <c r="C134" s="431" t="s">
        <v>1168</v>
      </c>
      <c r="D134" s="494" t="s">
        <v>110</v>
      </c>
      <c r="E134" s="385" t="s">
        <v>111</v>
      </c>
      <c r="F134" s="86"/>
      <c r="G134" s="86"/>
      <c r="H134" s="86"/>
      <c r="I134" s="98"/>
      <c r="J134" s="222">
        <f>-EF!C73</f>
        <v>-5800</v>
      </c>
      <c r="K134" s="223">
        <f t="shared" ref="K134:M135" si="32">J134</f>
        <v>-5800</v>
      </c>
      <c r="L134" s="223">
        <f t="shared" si="32"/>
        <v>-5800</v>
      </c>
      <c r="M134" s="223">
        <f t="shared" si="32"/>
        <v>-5800</v>
      </c>
      <c r="N134" s="445" t="s">
        <v>112</v>
      </c>
      <c r="O134" s="104"/>
    </row>
    <row r="135" spans="2:16" ht="45" customHeight="1" thickBot="1" x14ac:dyDescent="0.4">
      <c r="C135" s="378" t="s">
        <v>1169</v>
      </c>
      <c r="D135" s="463" t="s">
        <v>114</v>
      </c>
      <c r="E135" s="380" t="s">
        <v>111</v>
      </c>
      <c r="F135" s="218"/>
      <c r="G135" s="218"/>
      <c r="H135" s="218"/>
      <c r="I135" s="219"/>
      <c r="J135" s="224">
        <f>-EF!C74</f>
        <v>-8500</v>
      </c>
      <c r="K135" s="225">
        <f t="shared" si="32"/>
        <v>-8500</v>
      </c>
      <c r="L135" s="225">
        <f t="shared" si="32"/>
        <v>-8500</v>
      </c>
      <c r="M135" s="225">
        <f t="shared" si="32"/>
        <v>-8500</v>
      </c>
      <c r="N135" s="433" t="s">
        <v>112</v>
      </c>
      <c r="O135" s="108"/>
    </row>
    <row r="136" spans="2:16" ht="45" customHeight="1" x14ac:dyDescent="0.35">
      <c r="O136" s="120"/>
    </row>
    <row r="137" spans="2:16" ht="45" customHeight="1" thickBot="1" x14ac:dyDescent="0.4">
      <c r="O137" s="120"/>
    </row>
    <row r="138" spans="2:16" ht="45" customHeight="1" thickBot="1" x14ac:dyDescent="0.55000000000000004">
      <c r="C138" s="362" t="s">
        <v>115</v>
      </c>
      <c r="D138" s="363"/>
      <c r="E138" s="364"/>
      <c r="F138" s="364"/>
      <c r="G138" s="364"/>
      <c r="H138" s="364"/>
      <c r="I138" s="364"/>
      <c r="J138" s="364"/>
      <c r="K138" s="364"/>
      <c r="L138" s="365"/>
      <c r="M138" s="365"/>
      <c r="N138" s="419"/>
      <c r="O138" s="366" t="s">
        <v>1424</v>
      </c>
    </row>
    <row r="139" spans="2:16" ht="45" customHeight="1" x14ac:dyDescent="0.35">
      <c r="B139" s="383"/>
      <c r="C139" s="902" t="s">
        <v>1526</v>
      </c>
      <c r="D139" s="903"/>
      <c r="E139" s="904"/>
      <c r="F139" s="420" t="s">
        <v>32</v>
      </c>
      <c r="G139" s="368"/>
      <c r="H139" s="422" t="s">
        <v>33</v>
      </c>
      <c r="I139" s="422"/>
      <c r="J139" s="908" t="s">
        <v>34</v>
      </c>
      <c r="K139" s="909"/>
      <c r="L139" s="909"/>
      <c r="M139" s="909"/>
      <c r="N139" s="910"/>
      <c r="O139" s="438" t="s">
        <v>36</v>
      </c>
      <c r="P139" s="383"/>
    </row>
    <row r="140" spans="2:16" ht="45" customHeight="1" x14ac:dyDescent="0.35">
      <c r="B140" s="383"/>
      <c r="C140" s="905" t="s">
        <v>1175</v>
      </c>
      <c r="D140" s="906"/>
      <c r="E140" s="907"/>
      <c r="F140" s="425">
        <v>2023</v>
      </c>
      <c r="G140" s="425">
        <v>2025</v>
      </c>
      <c r="H140" s="425">
        <f t="shared" ref="H140" si="33">G140+5</f>
        <v>2030</v>
      </c>
      <c r="I140" s="426">
        <f t="shared" ref="I140" si="34">H140+5</f>
        <v>2035</v>
      </c>
      <c r="J140" s="374">
        <v>2023</v>
      </c>
      <c r="K140" s="375">
        <v>2025</v>
      </c>
      <c r="L140" s="375">
        <v>2030</v>
      </c>
      <c r="M140" s="375">
        <v>2035</v>
      </c>
      <c r="N140" s="376" t="s">
        <v>35</v>
      </c>
      <c r="O140" s="440"/>
      <c r="P140" s="453"/>
    </row>
    <row r="141" spans="2:16" ht="45" customHeight="1" x14ac:dyDescent="0.35">
      <c r="B141" s="729" t="str">
        <f>IF(AND(ISNUMBER(J141),J141&gt;0),"OBS! Husk negativt fortegn ved EF","")</f>
        <v/>
      </c>
      <c r="C141" s="431" t="s">
        <v>116</v>
      </c>
      <c r="D141" s="428" t="s">
        <v>1281</v>
      </c>
      <c r="E141" s="429" t="s">
        <v>117</v>
      </c>
      <c r="F141" s="86"/>
      <c r="G141" s="86"/>
      <c r="H141" s="86"/>
      <c r="I141" s="98"/>
      <c r="J141" s="207" t="s">
        <v>54</v>
      </c>
      <c r="K141" s="397">
        <f>IF(ISNUMBER(J141),J141,0)</f>
        <v>0</v>
      </c>
      <c r="L141" s="397">
        <f>IF(ISNUMBER(K141),K141,"")</f>
        <v>0</v>
      </c>
      <c r="M141" s="397">
        <f t="shared" ref="M141" si="35">IF(ISNUMBER(L141),L141,"")</f>
        <v>0</v>
      </c>
      <c r="N141" s="96" t="s">
        <v>118</v>
      </c>
      <c r="O141" s="113"/>
      <c r="P141" s="383"/>
    </row>
    <row r="142" spans="2:16" ht="45" customHeight="1" x14ac:dyDescent="0.35">
      <c r="B142" s="729" t="str">
        <f t="shared" ref="B142:B143" si="36">IF(AND(ISNUMBER(J142),J142&gt;0),"OBS!Husk negativt fortegn ved EF","")</f>
        <v/>
      </c>
      <c r="C142" s="431" t="s">
        <v>119</v>
      </c>
      <c r="D142" s="428" t="s">
        <v>120</v>
      </c>
      <c r="E142" s="429" t="s">
        <v>117</v>
      </c>
      <c r="F142" s="86"/>
      <c r="G142" s="86"/>
      <c r="H142" s="86"/>
      <c r="I142" s="98"/>
      <c r="J142" s="207" t="s">
        <v>54</v>
      </c>
      <c r="K142" s="397">
        <f>IF(ISNUMBER(J142),J142,0)</f>
        <v>0</v>
      </c>
      <c r="L142" s="397">
        <f t="shared" ref="L142:M142" si="37">IF(ISNUMBER(K142),K142,"")</f>
        <v>0</v>
      </c>
      <c r="M142" s="397">
        <f t="shared" si="37"/>
        <v>0</v>
      </c>
      <c r="N142" s="96" t="s">
        <v>118</v>
      </c>
      <c r="O142" s="113" t="s">
        <v>121</v>
      </c>
    </row>
    <row r="143" spans="2:16" ht="45" customHeight="1" thickBot="1" x14ac:dyDescent="0.4">
      <c r="B143" s="729" t="str">
        <f t="shared" si="36"/>
        <v/>
      </c>
      <c r="C143" s="378" t="s">
        <v>122</v>
      </c>
      <c r="D143" s="495" t="s">
        <v>123</v>
      </c>
      <c r="E143" s="380" t="s">
        <v>117</v>
      </c>
      <c r="F143" s="218"/>
      <c r="G143" s="218"/>
      <c r="H143" s="218"/>
      <c r="I143" s="219"/>
      <c r="J143" s="208" t="s">
        <v>54</v>
      </c>
      <c r="K143" s="407">
        <f>IF(ISNUMBER(J143),J143,0)</f>
        <v>0</v>
      </c>
      <c r="L143" s="407">
        <f t="shared" ref="L143:M143" si="38">IF(ISNUMBER(K143),K143,"")</f>
        <v>0</v>
      </c>
      <c r="M143" s="407">
        <f t="shared" si="38"/>
        <v>0</v>
      </c>
      <c r="N143" s="97" t="s">
        <v>118</v>
      </c>
      <c r="O143" s="114" t="s">
        <v>121</v>
      </c>
    </row>
    <row r="144" spans="2:16" ht="45" customHeight="1" x14ac:dyDescent="0.35">
      <c r="B144" s="383"/>
      <c r="O144" s="120"/>
    </row>
    <row r="145" spans="1:17" ht="45" customHeight="1" x14ac:dyDescent="0.5">
      <c r="B145" s="450" t="s">
        <v>1433</v>
      </c>
      <c r="C145" s="476"/>
      <c r="D145" s="476"/>
      <c r="E145" s="476"/>
      <c r="F145" s="476"/>
      <c r="G145" s="476"/>
      <c r="H145" s="476"/>
      <c r="I145" s="476"/>
      <c r="J145" s="476"/>
      <c r="K145" s="476"/>
      <c r="L145" s="476"/>
      <c r="M145" s="476"/>
      <c r="N145" s="476"/>
      <c r="O145" s="477"/>
      <c r="P145" s="382"/>
      <c r="Q145" s="383"/>
    </row>
    <row r="146" spans="1:17" ht="45" customHeight="1" thickBot="1" x14ac:dyDescent="0.4">
      <c r="B146" s="383"/>
      <c r="C146" s="496"/>
      <c r="D146" s="496"/>
      <c r="E146" s="436"/>
      <c r="F146" s="127"/>
      <c r="G146" s="127"/>
      <c r="H146" s="127"/>
      <c r="I146" s="127"/>
      <c r="J146" s="497"/>
      <c r="K146" s="497"/>
      <c r="L146" s="497"/>
      <c r="M146" s="497"/>
      <c r="N146" s="498"/>
      <c r="O146" s="498"/>
    </row>
    <row r="147" spans="1:17" ht="45" customHeight="1" thickBot="1" x14ac:dyDescent="0.55000000000000004">
      <c r="B147" s="383"/>
      <c r="C147" s="362" t="s">
        <v>124</v>
      </c>
      <c r="D147" s="363"/>
      <c r="E147" s="364"/>
      <c r="F147" s="364"/>
      <c r="G147" s="364"/>
      <c r="H147" s="364"/>
      <c r="I147" s="364"/>
      <c r="J147" s="417"/>
      <c r="K147" s="417"/>
      <c r="L147" s="418"/>
      <c r="M147" s="418"/>
      <c r="N147" s="419"/>
      <c r="O147" s="366" t="s">
        <v>1426</v>
      </c>
      <c r="Q147" s="453"/>
    </row>
    <row r="148" spans="1:17" ht="45" customHeight="1" x14ac:dyDescent="0.35">
      <c r="A148" s="3"/>
      <c r="B148" s="383"/>
      <c r="C148" s="902" t="s">
        <v>125</v>
      </c>
      <c r="D148" s="903"/>
      <c r="E148" s="499"/>
      <c r="F148" s="367" t="s">
        <v>32</v>
      </c>
      <c r="G148" s="368"/>
      <c r="H148" s="369" t="s">
        <v>33</v>
      </c>
      <c r="I148" s="369"/>
      <c r="J148" s="908" t="s">
        <v>34</v>
      </c>
      <c r="K148" s="909"/>
      <c r="L148" s="909"/>
      <c r="M148" s="909"/>
      <c r="N148" s="910"/>
      <c r="O148" s="484" t="s">
        <v>36</v>
      </c>
      <c r="P148" s="415"/>
    </row>
    <row r="149" spans="1:17" ht="45" customHeight="1" x14ac:dyDescent="0.35">
      <c r="A149" s="500"/>
      <c r="B149" s="383"/>
      <c r="C149" s="501"/>
      <c r="D149" s="457"/>
      <c r="E149" s="458"/>
      <c r="F149" s="425">
        <v>2023</v>
      </c>
      <c r="G149" s="425">
        <v>2025</v>
      </c>
      <c r="H149" s="425">
        <f t="shared" ref="H149" si="39">G149+5</f>
        <v>2030</v>
      </c>
      <c r="I149" s="426">
        <f t="shared" ref="I149" si="40">H149+5</f>
        <v>2035</v>
      </c>
      <c r="J149" s="374">
        <v>2023</v>
      </c>
      <c r="K149" s="375">
        <v>2025</v>
      </c>
      <c r="L149" s="375">
        <v>2030</v>
      </c>
      <c r="M149" s="375">
        <v>2035</v>
      </c>
      <c r="N149" s="376" t="s">
        <v>35</v>
      </c>
      <c r="O149" s="440"/>
      <c r="P149" s="415"/>
    </row>
    <row r="150" spans="1:17" ht="45" customHeight="1" x14ac:dyDescent="0.35">
      <c r="B150" s="389"/>
      <c r="C150" s="431" t="s">
        <v>126</v>
      </c>
      <c r="D150" s="494" t="s">
        <v>127</v>
      </c>
      <c r="E150" s="385" t="s">
        <v>39</v>
      </c>
      <c r="F150" s="214">
        <f>IF(ISNUMBER(INDEX('Data DV'!E6:E240,MATCH(Drikkevand!C2,'Data DV'!A6:A240,0))),INDEX('Data DV'!E6:E240,MATCH(Drikkevand!C2,'Data DV'!A6:A240,0)),0)</f>
        <v>0</v>
      </c>
      <c r="G150" s="86"/>
      <c r="H150" s="86"/>
      <c r="I150" s="98"/>
      <c r="J150" s="490">
        <f>-SUM(J70,J126)</f>
        <v>-0.16233</v>
      </c>
      <c r="K150" s="391">
        <f>-SUM(K70,K126)</f>
        <v>-0.11474999999999999</v>
      </c>
      <c r="L150" s="391">
        <f>-SUM(L70,L126)</f>
        <v>-8.1430000000000002E-2</v>
      </c>
      <c r="M150" s="391">
        <f>-SUM(M70,M126)</f>
        <v>-7.6939999999999995E-2</v>
      </c>
      <c r="N150" s="445" t="s">
        <v>42</v>
      </c>
      <c r="O150" s="104"/>
      <c r="P150" s="415"/>
    </row>
    <row r="151" spans="1:17" ht="45" customHeight="1" thickBot="1" x14ac:dyDescent="0.4">
      <c r="B151" s="389"/>
      <c r="C151" s="378" t="s">
        <v>128</v>
      </c>
      <c r="D151" s="495" t="s">
        <v>129</v>
      </c>
      <c r="E151" s="380" t="s">
        <v>39</v>
      </c>
      <c r="F151" s="216">
        <f>IF(ISNUMBER(INDEX('Data DV'!F6:F240,MATCH(Drikkevand!C2,'Data DV'!A6:A240,0))),INDEX('Data DV'!F6:F240,MATCH(Drikkevand!C2,'Data DV'!A6:A240,0)),0)</f>
        <v>0</v>
      </c>
      <c r="G151" s="220"/>
      <c r="H151" s="220"/>
      <c r="I151" s="221"/>
      <c r="J151" s="502">
        <f>-SUM(J64,J125)</f>
        <v>-5.9835081772502977E-2</v>
      </c>
      <c r="K151" s="503">
        <f>-SUM(K64,K125)</f>
        <v>-4.619645545304716E-2</v>
      </c>
      <c r="L151" s="503">
        <f>-SUM(L64,L125)</f>
        <v>-2.3617762562049623E-2</v>
      </c>
      <c r="M151" s="503">
        <f>-SUM(M64,M125)</f>
        <v>-1.4674540925272202E-2</v>
      </c>
      <c r="N151" s="433" t="s">
        <v>42</v>
      </c>
      <c r="O151" s="108"/>
      <c r="P151" s="415"/>
    </row>
    <row r="152" spans="1:17" ht="45" customHeight="1" x14ac:dyDescent="0.35">
      <c r="A152" s="3"/>
      <c r="B152" s="383"/>
      <c r="C152" s="383"/>
      <c r="D152" s="383"/>
      <c r="E152" s="383"/>
      <c r="F152" s="383"/>
      <c r="G152" s="383"/>
      <c r="H152" s="383"/>
      <c r="I152" s="383"/>
      <c r="J152" s="383"/>
      <c r="K152" s="383"/>
      <c r="L152" s="383"/>
      <c r="M152" s="383"/>
      <c r="O152" s="389"/>
      <c r="P152" s="415"/>
    </row>
    <row r="153" spans="1:17" ht="45" customHeight="1" thickBot="1" x14ac:dyDescent="0.4">
      <c r="B153" s="383"/>
      <c r="O153" s="120"/>
      <c r="P153" s="415"/>
    </row>
    <row r="154" spans="1:17" ht="45" customHeight="1" thickBot="1" x14ac:dyDescent="0.55000000000000004">
      <c r="B154" s="383"/>
      <c r="C154" s="362" t="s">
        <v>130</v>
      </c>
      <c r="D154" s="363"/>
      <c r="E154" s="364"/>
      <c r="F154" s="364"/>
      <c r="G154" s="364"/>
      <c r="H154" s="364"/>
      <c r="I154" s="364"/>
      <c r="J154" s="364"/>
      <c r="K154" s="364"/>
      <c r="L154" s="365"/>
      <c r="M154" s="365"/>
      <c r="N154" s="419"/>
      <c r="O154" s="366" t="s">
        <v>1427</v>
      </c>
      <c r="P154" s="383"/>
    </row>
    <row r="155" spans="1:17" ht="45" customHeight="1" x14ac:dyDescent="0.35">
      <c r="B155" s="383"/>
      <c r="C155" s="902" t="s">
        <v>1177</v>
      </c>
      <c r="D155" s="903"/>
      <c r="E155" s="904"/>
      <c r="F155" s="420" t="s">
        <v>32</v>
      </c>
      <c r="G155" s="368"/>
      <c r="H155" s="422" t="s">
        <v>33</v>
      </c>
      <c r="I155" s="422"/>
      <c r="J155" s="908" t="s">
        <v>34</v>
      </c>
      <c r="K155" s="909"/>
      <c r="L155" s="909"/>
      <c r="M155" s="909"/>
      <c r="N155" s="910"/>
      <c r="O155" s="423" t="s">
        <v>36</v>
      </c>
      <c r="P155" s="383"/>
    </row>
    <row r="156" spans="1:17" ht="45" customHeight="1" x14ac:dyDescent="0.35">
      <c r="B156" s="383"/>
      <c r="C156" s="905" t="s">
        <v>1175</v>
      </c>
      <c r="D156" s="906"/>
      <c r="E156" s="907"/>
      <c r="F156" s="425">
        <v>2023</v>
      </c>
      <c r="G156" s="425">
        <v>2025</v>
      </c>
      <c r="H156" s="425">
        <f t="shared" ref="H156" si="41">G156+5</f>
        <v>2030</v>
      </c>
      <c r="I156" s="426">
        <f t="shared" ref="I156" si="42">H156+5</f>
        <v>2035</v>
      </c>
      <c r="J156" s="374">
        <v>2023</v>
      </c>
      <c r="K156" s="375">
        <v>2025</v>
      </c>
      <c r="L156" s="375">
        <v>2030</v>
      </c>
      <c r="M156" s="375">
        <v>2035</v>
      </c>
      <c r="N156" s="376" t="s">
        <v>35</v>
      </c>
      <c r="O156" s="377"/>
    </row>
    <row r="157" spans="1:17" ht="45" customHeight="1" x14ac:dyDescent="0.35">
      <c r="B157" s="729" t="str">
        <f>IF(AND(ISNUMBER(J157),J157&gt;0),"OBS! Husk negativt fortegn ved EF","")</f>
        <v/>
      </c>
      <c r="C157" s="431" t="s">
        <v>131</v>
      </c>
      <c r="D157" s="428" t="s">
        <v>132</v>
      </c>
      <c r="E157" s="429" t="s">
        <v>117</v>
      </c>
      <c r="F157" s="86"/>
      <c r="G157" s="86"/>
      <c r="H157" s="86"/>
      <c r="I157" s="98"/>
      <c r="J157" s="207" t="s">
        <v>54</v>
      </c>
      <c r="K157" s="397" t="str">
        <f>IF(ISNUMBER(J157),J157,"")</f>
        <v/>
      </c>
      <c r="L157" s="397" t="str">
        <f t="shared" ref="L157:M157" si="43">IF(ISNUMBER(K157),K157,"")</f>
        <v/>
      </c>
      <c r="M157" s="397" t="str">
        <f t="shared" si="43"/>
        <v/>
      </c>
      <c r="N157" s="96" t="s">
        <v>118</v>
      </c>
      <c r="O157" s="109" t="s">
        <v>1182</v>
      </c>
    </row>
    <row r="158" spans="1:17" ht="45" customHeight="1" x14ac:dyDescent="0.35">
      <c r="B158" s="729" t="str">
        <f t="shared" ref="B158:B159" si="44">IF(AND(ISNUMBER(J158),J158&gt;0),"OBS! Husk negativt fortegn ved EF","")</f>
        <v/>
      </c>
      <c r="C158" s="867" t="s">
        <v>119</v>
      </c>
      <c r="D158" s="428" t="s">
        <v>1365</v>
      </c>
      <c r="E158" s="429" t="s">
        <v>117</v>
      </c>
      <c r="F158" s="86"/>
      <c r="G158" s="86"/>
      <c r="H158" s="86"/>
      <c r="I158" s="98"/>
      <c r="J158" s="207" t="s">
        <v>54</v>
      </c>
      <c r="K158" s="397" t="str">
        <f t="shared" ref="K158:M158" si="45">IF(ISNUMBER(J158),J158,"")</f>
        <v/>
      </c>
      <c r="L158" s="397" t="str">
        <f t="shared" si="45"/>
        <v/>
      </c>
      <c r="M158" s="397" t="str">
        <f t="shared" si="45"/>
        <v/>
      </c>
      <c r="N158" s="96" t="s">
        <v>118</v>
      </c>
      <c r="O158" s="109" t="s">
        <v>121</v>
      </c>
    </row>
    <row r="159" spans="1:17" ht="45" customHeight="1" thickBot="1" x14ac:dyDescent="0.4">
      <c r="B159" s="729" t="str">
        <f t="shared" si="44"/>
        <v/>
      </c>
      <c r="C159" s="868" t="s">
        <v>122</v>
      </c>
      <c r="D159" s="495" t="s">
        <v>134</v>
      </c>
      <c r="E159" s="380" t="s">
        <v>117</v>
      </c>
      <c r="F159" s="218"/>
      <c r="G159" s="218"/>
      <c r="H159" s="218"/>
      <c r="I159" s="219"/>
      <c r="J159" s="208" t="s">
        <v>54</v>
      </c>
      <c r="K159" s="407" t="str">
        <f t="shared" ref="K159:M159" si="46">IF(ISNUMBER(J159),J159,"")</f>
        <v/>
      </c>
      <c r="L159" s="407" t="str">
        <f t="shared" si="46"/>
        <v/>
      </c>
      <c r="M159" s="407" t="str">
        <f t="shared" si="46"/>
        <v/>
      </c>
      <c r="N159" s="97" t="s">
        <v>118</v>
      </c>
      <c r="O159" s="110" t="s">
        <v>121</v>
      </c>
    </row>
    <row r="160" spans="1:17" ht="45" customHeight="1" x14ac:dyDescent="0.35">
      <c r="B160" s="729"/>
      <c r="O160" s="120"/>
    </row>
    <row r="161" spans="2:16" ht="45" customHeight="1" x14ac:dyDescent="0.35">
      <c r="O161" s="120"/>
    </row>
    <row r="162" spans="2:16" ht="45" customHeight="1" x14ac:dyDescent="0.5">
      <c r="B162" s="359" t="s">
        <v>1434</v>
      </c>
      <c r="C162" s="505"/>
      <c r="D162" s="505"/>
      <c r="E162" s="505"/>
      <c r="F162" s="505"/>
      <c r="G162" s="505"/>
      <c r="H162" s="505"/>
      <c r="I162" s="505"/>
      <c r="J162" s="505"/>
      <c r="K162" s="505"/>
      <c r="L162" s="505"/>
      <c r="M162" s="505"/>
      <c r="N162" s="505"/>
      <c r="O162" s="506"/>
      <c r="P162" s="360"/>
    </row>
    <row r="163" spans="2:16" ht="45" customHeight="1" thickBot="1" x14ac:dyDescent="0.4">
      <c r="B163" s="383"/>
      <c r="O163" s="120"/>
    </row>
    <row r="164" spans="2:16" ht="45" customHeight="1" thickBot="1" x14ac:dyDescent="0.55000000000000004">
      <c r="B164" s="383"/>
      <c r="C164" s="362" t="s">
        <v>135</v>
      </c>
      <c r="D164" s="363"/>
      <c r="E164" s="364"/>
      <c r="F164" s="364"/>
      <c r="G164" s="364"/>
      <c r="H164" s="364"/>
      <c r="I164" s="364"/>
      <c r="J164" s="364"/>
      <c r="K164" s="364"/>
      <c r="L164" s="365"/>
      <c r="M164" s="365"/>
      <c r="N164" s="121"/>
      <c r="O164" s="366" t="s">
        <v>1428</v>
      </c>
    </row>
    <row r="165" spans="2:16" ht="45" customHeight="1" x14ac:dyDescent="0.35">
      <c r="C165" s="902" t="s">
        <v>136</v>
      </c>
      <c r="D165" s="903"/>
      <c r="E165" s="904"/>
      <c r="F165" s="367" t="s">
        <v>32</v>
      </c>
      <c r="G165" s="369"/>
      <c r="H165" s="369" t="s">
        <v>33</v>
      </c>
      <c r="I165" s="369"/>
      <c r="J165" s="925" t="s">
        <v>34</v>
      </c>
      <c r="K165" s="926"/>
      <c r="L165" s="926"/>
      <c r="M165" s="926"/>
      <c r="N165" s="927"/>
      <c r="O165" s="507" t="s">
        <v>36</v>
      </c>
    </row>
    <row r="166" spans="2:16" ht="45" customHeight="1" x14ac:dyDescent="0.35">
      <c r="C166" s="508"/>
      <c r="D166" s="454"/>
      <c r="E166" s="454"/>
      <c r="F166" s="425">
        <v>2023</v>
      </c>
      <c r="G166" s="425">
        <v>2025</v>
      </c>
      <c r="H166" s="425">
        <f t="shared" ref="H166" si="47">G166+5</f>
        <v>2030</v>
      </c>
      <c r="I166" s="426">
        <f t="shared" ref="I166" si="48">H166+5</f>
        <v>2035</v>
      </c>
      <c r="J166" s="374">
        <v>2023</v>
      </c>
      <c r="K166" s="375">
        <v>2025</v>
      </c>
      <c r="L166" s="375">
        <v>2030</v>
      </c>
      <c r="M166" s="375">
        <v>2035</v>
      </c>
      <c r="N166" s="376" t="s">
        <v>35</v>
      </c>
      <c r="O166" s="403"/>
      <c r="P166" s="383"/>
    </row>
    <row r="167" spans="2:16" ht="45" customHeight="1" x14ac:dyDescent="0.35">
      <c r="B167" s="388"/>
      <c r="C167" s="431" t="s">
        <v>137</v>
      </c>
      <c r="D167" s="428" t="s">
        <v>138</v>
      </c>
      <c r="E167" s="385" t="s">
        <v>39</v>
      </c>
      <c r="F167" s="214">
        <f>IF(ISNUMBER(INDEX('Data DV'!P6:P237,MATCH(C2,'Data DV'!A6:A235,0))),INDEX('Data DV'!P6:P237,MATCH(C2,'Data DV'!A6:A235,0)),0)</f>
        <v>0</v>
      </c>
      <c r="G167" s="215"/>
      <c r="H167" s="86"/>
      <c r="I167" s="98"/>
      <c r="J167" s="509">
        <f>-SUM(J64,J125)</f>
        <v>-5.9835081772502977E-2</v>
      </c>
      <c r="K167" s="510">
        <f>-SUM(K64,K125)</f>
        <v>-4.619645545304716E-2</v>
      </c>
      <c r="L167" s="510">
        <f>-SUM(L64,L125)</f>
        <v>-2.3617762562049623E-2</v>
      </c>
      <c r="M167" s="510">
        <f>-SUM(M64,M125)</f>
        <v>-1.4674540925272202E-2</v>
      </c>
      <c r="N167" s="511" t="s">
        <v>42</v>
      </c>
      <c r="O167" s="95"/>
    </row>
    <row r="168" spans="2:16" ht="45" customHeight="1" thickBot="1" x14ac:dyDescent="0.4">
      <c r="B168" s="500"/>
      <c r="C168" s="378" t="s">
        <v>139</v>
      </c>
      <c r="D168" s="495" t="s">
        <v>140</v>
      </c>
      <c r="E168" s="380" t="s">
        <v>39</v>
      </c>
      <c r="F168" s="216">
        <f>IF(ISNUMBER(INDEX('Data DV'!Q6:Q237,MATCH(C2,'Data DV'!A6:A235,0))),INDEX('Data DV'!Q6:Q237,MATCH(C2,'Data DV'!A6:A235,0)),0)</f>
        <v>0</v>
      </c>
      <c r="G168" s="217"/>
      <c r="H168" s="218"/>
      <c r="I168" s="219"/>
      <c r="J168" s="502">
        <f>-SUM(J64,J125)</f>
        <v>-5.9835081772502977E-2</v>
      </c>
      <c r="K168" s="503">
        <f>-SUM(K64,K125)</f>
        <v>-4.619645545304716E-2</v>
      </c>
      <c r="L168" s="503">
        <f>-SUM(L64,L125)</f>
        <v>-2.3617762562049623E-2</v>
      </c>
      <c r="M168" s="503">
        <f>-SUM(M64,M125)</f>
        <v>-1.4674540925272202E-2</v>
      </c>
      <c r="N168" s="512" t="s">
        <v>42</v>
      </c>
      <c r="O168" s="106"/>
      <c r="P168" s="453"/>
    </row>
    <row r="169" spans="2:16" ht="45" customHeight="1" x14ac:dyDescent="0.35">
      <c r="O169" s="120"/>
    </row>
    <row r="170" spans="2:16" ht="45" customHeight="1" x14ac:dyDescent="0.5">
      <c r="B170" s="513"/>
      <c r="C170" s="505"/>
      <c r="D170" s="505"/>
      <c r="E170" s="505"/>
      <c r="F170" s="505"/>
      <c r="G170" s="505"/>
      <c r="H170" s="505"/>
      <c r="I170" s="505"/>
      <c r="J170" s="505"/>
      <c r="K170" s="505"/>
      <c r="L170" s="505"/>
      <c r="M170" s="505"/>
      <c r="N170" s="505"/>
      <c r="O170" s="505"/>
      <c r="P170" s="360"/>
    </row>
  </sheetData>
  <sheetProtection algorithmName="SHA-512" hashValue="lWJu7FHA/irA78nXJUXSuDZcv0rSjRHLiRce9Xe/hFZfXcNZkR3rdsWNP3OIfmyvZyetxdbgtIX0HjvF/YQXNA==" saltValue="maShPSiqnDPgG+frbPZcuw==" spinCount="100000" sheet="1" formatCells="0"/>
  <dataConsolidate/>
  <mergeCells count="47">
    <mergeCell ref="J165:N165"/>
    <mergeCell ref="J155:N155"/>
    <mergeCell ref="J148:N148"/>
    <mergeCell ref="C165:E165"/>
    <mergeCell ref="C139:E139"/>
    <mergeCell ref="C140:E140"/>
    <mergeCell ref="C148:D148"/>
    <mergeCell ref="C155:E155"/>
    <mergeCell ref="C156:E156"/>
    <mergeCell ref="C87:E87"/>
    <mergeCell ref="C88:E88"/>
    <mergeCell ref="C112:E112"/>
    <mergeCell ref="C113:E113"/>
    <mergeCell ref="C132:E132"/>
    <mergeCell ref="C77:E77"/>
    <mergeCell ref="C29:E29"/>
    <mergeCell ref="C30:E30"/>
    <mergeCell ref="C45:E45"/>
    <mergeCell ref="C46:E46"/>
    <mergeCell ref="C53:E53"/>
    <mergeCell ref="C54:E54"/>
    <mergeCell ref="C62:E62"/>
    <mergeCell ref="C68:E68"/>
    <mergeCell ref="J114:N114"/>
    <mergeCell ref="J87:N87"/>
    <mergeCell ref="J112:N112"/>
    <mergeCell ref="J132:N132"/>
    <mergeCell ref="J139:N139"/>
    <mergeCell ref="J122:N122"/>
    <mergeCell ref="J78:M78"/>
    <mergeCell ref="J79:M79"/>
    <mergeCell ref="J29:N29"/>
    <mergeCell ref="K31:M31"/>
    <mergeCell ref="J45:N45"/>
    <mergeCell ref="J53:N53"/>
    <mergeCell ref="J76:N76"/>
    <mergeCell ref="J34:N34"/>
    <mergeCell ref="J38:N38"/>
    <mergeCell ref="J47:N47"/>
    <mergeCell ref="J48:N48"/>
    <mergeCell ref="C20:E20"/>
    <mergeCell ref="C21:E21"/>
    <mergeCell ref="J20:N20"/>
    <mergeCell ref="C76:E76"/>
    <mergeCell ref="J62:N62"/>
    <mergeCell ref="J68:N68"/>
    <mergeCell ref="J22:N22"/>
  </mergeCells>
  <dataValidations count="2">
    <dataValidation type="list" allowBlank="1" showInputMessage="1" showErrorMessage="1" sqref="S53:V53" xr:uid="{833291B5-13BF-41AB-B17E-8620958D364C}">
      <formula1>#REF!</formula1>
    </dataValidation>
    <dataValidation type="decimal" errorStyle="information" allowBlank="1" showInputMessage="1" showErrorMessage="1" error="Indsæt kun tal" sqref="F22:I168" xr:uid="{5FB224E8-98A9-44DF-BFC0-6978699BC8BA}">
      <formula1>0</formula1>
      <formula2>1000000000000000</formula2>
    </dataValidation>
  </dataValidations>
  <pageMargins left="0.7" right="0.7" top="0.75" bottom="0.75" header="0.3" footer="0.3"/>
  <pageSetup paperSize="9" fitToWidth="0" orientation="portrait" verticalDpi="0" r:id="rId1"/>
  <headerFooter scaleWithDoc="0" alignWithMargins="0"/>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58A33A6F-10A7-42EA-91F0-EC3DB6B8EAB4}">
          <x14:formula1>
            <xm:f>EF!$A$78:$A$117</xm:f>
          </x14:formula1>
          <xm:sqref>C89:C98</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25B287-62C6-458F-9141-E7FDFE24F1E6}">
  <sheetPr codeName="Sheet5">
    <tabColor rgb="FF9BAC96"/>
    <pageSetUpPr fitToPage="1"/>
  </sheetPr>
  <dimension ref="A1:AD138"/>
  <sheetViews>
    <sheetView showGridLines="0" topLeftCell="B13" zoomScale="50" zoomScaleNormal="50" workbookViewId="0">
      <selection activeCell="J32" sqref="J32"/>
    </sheetView>
  </sheetViews>
  <sheetFormatPr defaultRowHeight="14.5" x14ac:dyDescent="0.35"/>
  <cols>
    <col min="1" max="1" width="9.1796875" customWidth="1"/>
    <col min="2" max="2" width="32.54296875" customWidth="1"/>
    <col min="3" max="3" width="33.7265625" customWidth="1"/>
    <col min="4" max="4" width="77" customWidth="1"/>
    <col min="5" max="14" width="15.7265625" customWidth="1"/>
    <col min="15" max="15" width="34.26953125" customWidth="1"/>
    <col min="16" max="16" width="27.7265625" customWidth="1"/>
    <col min="17" max="17" width="20.81640625" customWidth="1"/>
    <col min="18" max="18" width="11.81640625" bestFit="1" customWidth="1"/>
    <col min="19" max="19" width="11.1796875" bestFit="1" customWidth="1"/>
    <col min="20" max="22" width="10" customWidth="1"/>
    <col min="23" max="23" width="13.1796875" customWidth="1"/>
    <col min="24" max="26" width="13.1796875" hidden="1" customWidth="1"/>
    <col min="27" max="27" width="13.1796875" customWidth="1"/>
    <col min="30" max="30" width="9.81640625" customWidth="1"/>
  </cols>
  <sheetData>
    <row r="1" spans="1:18" ht="32" x14ac:dyDescent="0.7">
      <c r="A1" s="116" t="s">
        <v>141</v>
      </c>
      <c r="F1" s="117"/>
    </row>
    <row r="2" spans="1:18" ht="32" x14ac:dyDescent="0.7">
      <c r="A2" s="118" t="s">
        <v>30</v>
      </c>
      <c r="C2" s="118" t="str">
        <f>Basisoplysninger!B7</f>
        <v>Vælg selskab (drop down)</v>
      </c>
      <c r="F2" s="119"/>
      <c r="Q2" s="118"/>
      <c r="R2" s="119"/>
    </row>
    <row r="3" spans="1:18" ht="40.15" customHeight="1" x14ac:dyDescent="0.35">
      <c r="B3" s="7" t="e">
        <f>INDEX(rSPV!A10:A111,MATCH(Renseanlæg!C2,rSPV!B10:B111,0))</f>
        <v>#N/A</v>
      </c>
    </row>
    <row r="4" spans="1:18" ht="40.15" customHeight="1" x14ac:dyDescent="0.35">
      <c r="F4" s="3"/>
    </row>
    <row r="5" spans="1:18" ht="40.15" customHeight="1" x14ac:dyDescent="0.35"/>
    <row r="6" spans="1:18" ht="40.15" customHeight="1" x14ac:dyDescent="0.35"/>
    <row r="7" spans="1:18" ht="40.15" customHeight="1" x14ac:dyDescent="0.35"/>
    <row r="8" spans="1:18" ht="40.15" customHeight="1" x14ac:dyDescent="0.35"/>
    <row r="9" spans="1:18" ht="40.15" customHeight="1" x14ac:dyDescent="0.35"/>
    <row r="10" spans="1:18" ht="40.15" customHeight="1" x14ac:dyDescent="0.35"/>
    <row r="11" spans="1:18" ht="40.15" customHeight="1" x14ac:dyDescent="0.35"/>
    <row r="12" spans="1:18" ht="40.15" customHeight="1" x14ac:dyDescent="0.35"/>
    <row r="13" spans="1:18" ht="40.15" customHeight="1" x14ac:dyDescent="0.35"/>
    <row r="14" spans="1:18" ht="40.15" customHeight="1" x14ac:dyDescent="0.35"/>
    <row r="15" spans="1:18" ht="40.15" customHeight="1" x14ac:dyDescent="0.35"/>
    <row r="16" spans="1:18" ht="40.15" customHeight="1" x14ac:dyDescent="0.35"/>
    <row r="17" spans="1:30" ht="45" customHeight="1" x14ac:dyDescent="0.5">
      <c r="B17" s="359" t="s">
        <v>1283</v>
      </c>
      <c r="C17" s="360"/>
      <c r="D17" s="360"/>
      <c r="E17" s="360"/>
      <c r="F17" s="360"/>
      <c r="G17" s="360"/>
      <c r="H17" s="360"/>
      <c r="I17" s="360"/>
      <c r="J17" s="360"/>
      <c r="K17" s="360"/>
      <c r="L17" s="360"/>
      <c r="M17" s="360"/>
      <c r="N17" s="360"/>
      <c r="O17" s="360"/>
      <c r="P17" s="360"/>
      <c r="S17" s="361"/>
      <c r="T17" s="361"/>
      <c r="U17" s="361"/>
      <c r="V17" s="361"/>
      <c r="W17" s="361"/>
      <c r="X17" s="361"/>
    </row>
    <row r="18" spans="1:30" ht="45" customHeight="1" thickBot="1" x14ac:dyDescent="0.4">
      <c r="AD18" s="336"/>
    </row>
    <row r="19" spans="1:30" ht="45" customHeight="1" thickBot="1" x14ac:dyDescent="0.55000000000000004">
      <c r="C19" s="362" t="s">
        <v>1284</v>
      </c>
      <c r="D19" s="363"/>
      <c r="E19" s="364"/>
      <c r="F19" s="364"/>
      <c r="G19" s="364"/>
      <c r="H19" s="364"/>
      <c r="I19" s="364"/>
      <c r="J19" s="364"/>
      <c r="K19" s="364"/>
      <c r="L19" s="365"/>
      <c r="M19" s="365"/>
      <c r="N19" s="121"/>
      <c r="O19" s="366"/>
    </row>
    <row r="20" spans="1:30" ht="45" customHeight="1" x14ac:dyDescent="0.35">
      <c r="C20" s="902" t="s">
        <v>1285</v>
      </c>
      <c r="D20" s="903"/>
      <c r="E20" s="904"/>
      <c r="F20" s="367" t="s">
        <v>32</v>
      </c>
      <c r="G20" s="368"/>
      <c r="H20" s="369" t="s">
        <v>33</v>
      </c>
      <c r="I20" s="370"/>
      <c r="J20" s="908" t="s">
        <v>34</v>
      </c>
      <c r="K20" s="909"/>
      <c r="L20" s="909"/>
      <c r="M20" s="909"/>
      <c r="N20" s="910"/>
      <c r="O20" s="371"/>
    </row>
    <row r="21" spans="1:30" ht="45" customHeight="1" x14ac:dyDescent="0.35">
      <c r="C21" s="905" t="s">
        <v>1287</v>
      </c>
      <c r="D21" s="906"/>
      <c r="E21" s="907"/>
      <c r="F21" s="372">
        <v>2023</v>
      </c>
      <c r="G21" s="372">
        <v>2025</v>
      </c>
      <c r="H21" s="372">
        <f t="shared" ref="H21:I21" si="0">G21+5</f>
        <v>2030</v>
      </c>
      <c r="I21" s="373">
        <f t="shared" si="0"/>
        <v>2035</v>
      </c>
      <c r="J21" s="374">
        <v>2023</v>
      </c>
      <c r="K21" s="375">
        <v>2025</v>
      </c>
      <c r="L21" s="375">
        <v>2030</v>
      </c>
      <c r="M21" s="375">
        <v>2035</v>
      </c>
      <c r="N21" s="376" t="s">
        <v>35</v>
      </c>
      <c r="O21" s="377" t="s">
        <v>36</v>
      </c>
    </row>
    <row r="22" spans="1:30" ht="45" customHeight="1" thickBot="1" x14ac:dyDescent="0.4">
      <c r="C22" s="378" t="s">
        <v>1366</v>
      </c>
      <c r="D22" s="379" t="s">
        <v>1356</v>
      </c>
      <c r="E22" s="380" t="s">
        <v>70</v>
      </c>
      <c r="F22" s="245" t="str">
        <f>IFERROR(INDEX('Data SPV trans'!I6:I105,MATCH(Basisoplysninger!B7,'Data SPV trans'!A6:A105,0)),"")</f>
        <v/>
      </c>
      <c r="G22" s="352"/>
      <c r="H22" s="352"/>
      <c r="I22" s="353"/>
      <c r="J22" s="911" t="s">
        <v>1291</v>
      </c>
      <c r="K22" s="912"/>
      <c r="L22" s="912"/>
      <c r="M22" s="912"/>
      <c r="N22" s="913"/>
      <c r="O22" s="710"/>
    </row>
    <row r="23" spans="1:30" s="120" customFormat="1" ht="45" customHeight="1" x14ac:dyDescent="0.35"/>
    <row r="24" spans="1:30" ht="45" customHeight="1" x14ac:dyDescent="0.5">
      <c r="B24" s="359"/>
      <c r="C24" s="360"/>
      <c r="D24" s="360"/>
      <c r="E24" s="360"/>
      <c r="F24" s="360"/>
      <c r="G24" s="360"/>
      <c r="H24" s="360"/>
      <c r="I24" s="360"/>
      <c r="J24" s="360"/>
      <c r="K24" s="360"/>
      <c r="L24" s="360"/>
      <c r="M24" s="360"/>
      <c r="N24" s="360"/>
      <c r="O24" s="360"/>
      <c r="P24" s="360"/>
    </row>
    <row r="25" spans="1:30" ht="44.25" customHeight="1" x14ac:dyDescent="0.35"/>
    <row r="26" spans="1:30" ht="45" customHeight="1" x14ac:dyDescent="0.5">
      <c r="B26" s="381" t="s">
        <v>1435</v>
      </c>
      <c r="C26" s="382"/>
      <c r="D26" s="382"/>
      <c r="E26" s="382"/>
      <c r="F26" s="382"/>
      <c r="G26" s="382"/>
      <c r="H26" s="382"/>
      <c r="I26" s="382"/>
      <c r="J26" s="382"/>
      <c r="K26" s="382"/>
      <c r="L26" s="382"/>
      <c r="M26" s="382"/>
      <c r="N26" s="382"/>
      <c r="O26" s="382"/>
      <c r="P26" s="382"/>
      <c r="Q26" s="361"/>
      <c r="R26" s="361"/>
    </row>
    <row r="27" spans="1:30" ht="45" customHeight="1" thickBot="1" x14ac:dyDescent="0.5">
      <c r="C27" s="514"/>
      <c r="J27" s="120"/>
      <c r="K27" s="120"/>
      <c r="L27" s="120"/>
      <c r="M27" s="120"/>
      <c r="O27" s="120"/>
    </row>
    <row r="28" spans="1:30" ht="45" customHeight="1" thickBot="1" x14ac:dyDescent="0.55000000000000004">
      <c r="B28" s="383"/>
      <c r="C28" s="362" t="s">
        <v>31</v>
      </c>
      <c r="D28" s="363"/>
      <c r="E28" s="364"/>
      <c r="F28" s="364"/>
      <c r="G28" s="364"/>
      <c r="H28" s="364"/>
      <c r="I28" s="364"/>
      <c r="J28" s="417"/>
      <c r="K28" s="417"/>
      <c r="L28" s="418"/>
      <c r="M28" s="418"/>
      <c r="N28" s="419"/>
      <c r="O28" s="366" t="s">
        <v>1440</v>
      </c>
      <c r="P28" s="383"/>
    </row>
    <row r="29" spans="1:30" ht="45" customHeight="1" x14ac:dyDescent="0.35">
      <c r="B29" s="383"/>
      <c r="C29" s="902" t="s">
        <v>1350</v>
      </c>
      <c r="D29" s="903"/>
      <c r="E29" s="903"/>
      <c r="F29" s="420" t="s">
        <v>32</v>
      </c>
      <c r="G29" s="421"/>
      <c r="H29" s="422" t="s">
        <v>33</v>
      </c>
      <c r="I29" s="422"/>
      <c r="J29" s="928" t="s">
        <v>34</v>
      </c>
      <c r="K29" s="929"/>
      <c r="L29" s="929"/>
      <c r="M29" s="929"/>
      <c r="N29" s="930"/>
      <c r="O29" s="515" t="s">
        <v>36</v>
      </c>
      <c r="P29" s="383"/>
    </row>
    <row r="30" spans="1:30" ht="45" customHeight="1" x14ac:dyDescent="0.35">
      <c r="A30" s="3"/>
      <c r="B30" s="383"/>
      <c r="C30" s="905" t="s">
        <v>1181</v>
      </c>
      <c r="D30" s="906"/>
      <c r="E30" s="907"/>
      <c r="F30" s="372">
        <v>2023</v>
      </c>
      <c r="G30" s="372">
        <v>2025</v>
      </c>
      <c r="H30" s="372">
        <f t="shared" ref="H30:I30" si="1">G30+5</f>
        <v>2030</v>
      </c>
      <c r="I30" s="424">
        <f t="shared" si="1"/>
        <v>2035</v>
      </c>
      <c r="J30" s="374">
        <v>2023</v>
      </c>
      <c r="K30" s="375">
        <v>2025</v>
      </c>
      <c r="L30" s="375">
        <v>2030</v>
      </c>
      <c r="M30" s="375">
        <v>2035</v>
      </c>
      <c r="N30" s="376" t="s">
        <v>35</v>
      </c>
      <c r="O30" s="440"/>
      <c r="P30" s="383"/>
    </row>
    <row r="31" spans="1:30" ht="45" customHeight="1" x14ac:dyDescent="0.35">
      <c r="A31" s="3"/>
      <c r="B31" s="733" t="str">
        <f>IF(F31=SUM(F32:F33,F35:F36,F37,F39:F41),"","OBS! Samlet sum af købt brændsel/varme 2023 stemmer ikke overens med underkategorierne")</f>
        <v/>
      </c>
      <c r="C31" s="384" t="s">
        <v>142</v>
      </c>
      <c r="D31" s="385" t="s">
        <v>38</v>
      </c>
      <c r="E31" s="385" t="s">
        <v>39</v>
      </c>
      <c r="F31" s="240">
        <f>IF(ISNUMBER(INDEX('Data SPV trans'!$D$6:$D$110,MATCH($C$2,'Data SPV trans'!$A$6:$A$110,0))),INDEX('Data SPV trans'!$D$6:$D$110,MATCH($C$2,'Data SPV trans'!$A$6:$A$110,0)),0)</f>
        <v>0</v>
      </c>
      <c r="G31" s="241">
        <f>SUM(G32:G34,G37,G38)</f>
        <v>0</v>
      </c>
      <c r="H31" s="241">
        <f>SUM(H32:H34,H37,H38)</f>
        <v>0</v>
      </c>
      <c r="I31" s="246">
        <f>SUM(I32:I34,I37,I38)</f>
        <v>0</v>
      </c>
      <c r="J31" s="934" t="s">
        <v>1358</v>
      </c>
      <c r="K31" s="918"/>
      <c r="L31" s="918"/>
      <c r="M31" s="918"/>
      <c r="N31" s="935"/>
      <c r="O31" s="730"/>
      <c r="P31" s="383"/>
    </row>
    <row r="32" spans="1:30" ht="45" customHeight="1" x14ac:dyDescent="0.35">
      <c r="A32" s="388"/>
      <c r="B32" s="393" t="s">
        <v>143</v>
      </c>
      <c r="C32" s="390" t="s">
        <v>40</v>
      </c>
      <c r="D32" s="385" t="s">
        <v>41</v>
      </c>
      <c r="E32" s="385" t="s">
        <v>39</v>
      </c>
      <c r="F32" s="240">
        <f>IF(ISNUMBER(INDEX('Data SPV trans'!$J$6:$J$110,MATCH($C$2,'Data SPV trans'!$A$6:$A$110,0))),INDEX('Data SPV trans'!$J$6:$J$110,MATCH($C$2,'Data SPV trans'!$A$6:$A$110,0)),0)</f>
        <v>0</v>
      </c>
      <c r="G32" s="86"/>
      <c r="H32" s="86"/>
      <c r="I32" s="98"/>
      <c r="J32" s="212" t="s">
        <v>1528</v>
      </c>
      <c r="K32" s="391">
        <f>IF(AND(ISNUMBER($J$32),J32&gt;0),$J$32*EF!E53/EF!C53,EF!E53)</f>
        <v>3.6957164362437726E-2</v>
      </c>
      <c r="L32" s="391">
        <f>IF(AND(ISNUMBER($J$32),J32&gt;0),$J$32*EF!G53/EF!C53,EF!G53)</f>
        <v>1.8894210049639697E-2</v>
      </c>
      <c r="M32" s="391">
        <f>IF(AND(ISNUMBER($J$32),J32&gt;0),$J$32*EF!I53/EF!C53,EF!I53)</f>
        <v>1.1739632740217762E-2</v>
      </c>
      <c r="N32" s="392" t="s">
        <v>42</v>
      </c>
      <c r="O32" s="707" t="s">
        <v>1361</v>
      </c>
      <c r="P32" s="389"/>
      <c r="Q32" s="120"/>
      <c r="R32" s="120"/>
    </row>
    <row r="33" spans="1:27" ht="45" customHeight="1" x14ac:dyDescent="0.35">
      <c r="A33" s="3"/>
      <c r="B33" s="393" t="s">
        <v>43</v>
      </c>
      <c r="C33" s="394" t="s">
        <v>44</v>
      </c>
      <c r="D33" s="385" t="s">
        <v>1481</v>
      </c>
      <c r="E33" s="395" t="s">
        <v>39</v>
      </c>
      <c r="F33" s="240">
        <f>IF(ISNUMBER(INDEX('Data SPV trans'!$K$6:$K$110,MATCH($C$2,'Data SPV trans'!$A$6:$A$110,0))),INDEX('Data SPV trans'!$K$6:$K$110,MATCH($C$2,'Data SPV trans'!$A$6:$A$110,0)),0)</f>
        <v>0</v>
      </c>
      <c r="G33" s="242"/>
      <c r="H33" s="242"/>
      <c r="I33" s="247"/>
      <c r="J33" s="396">
        <f>IFERROR(INDEX(EF!$C$40:$C$49,MATCH("Naturgas",EF!$A$40:$A$49,0)),"")</f>
        <v>0.11291822816432782</v>
      </c>
      <c r="K33" s="397">
        <f>IFERROR(INDEX(EF!$E$40:$E$49,MATCH("Naturgas",EF!$A$40:$A$49,0)),"")</f>
        <v>9.2578966619212236E-2</v>
      </c>
      <c r="L33" s="397">
        <f>IFERROR(INDEX(EF!$G$40:$G$49,MATCH("naturgas",EF!$A$40:$A$49,0)),"")</f>
        <v>1.2777777777777776E-4</v>
      </c>
      <c r="M33" s="397">
        <f>IFERROR(INDEX(EF!$I$40:$I$49,MATCH("naturgas",EF!$A$40:$A$49,0)),"")</f>
        <v>1.2777777777777776E-4</v>
      </c>
      <c r="N33" s="392" t="s">
        <v>42</v>
      </c>
      <c r="O33" s="730"/>
      <c r="P33" s="383"/>
    </row>
    <row r="34" spans="1:27" ht="45" customHeight="1" x14ac:dyDescent="0.35">
      <c r="A34" s="3"/>
      <c r="B34" s="393" t="s">
        <v>46</v>
      </c>
      <c r="C34" s="394" t="s">
        <v>47</v>
      </c>
      <c r="D34" s="385" t="s">
        <v>1513</v>
      </c>
      <c r="E34" s="395" t="s">
        <v>39</v>
      </c>
      <c r="F34" s="240">
        <f>IF(ISNUMBER(INDEX('Data SPV trans'!$L$6:$L$110,MATCH($C$2,'Data SPV trans'!$A$6:$A$110,0))),INDEX('Data SPV trans'!$L$6:$L$110,MATCH($C$2,'Data SPV trans'!$A$6:$A$110,0)),SUM(F35:F36))</f>
        <v>0</v>
      </c>
      <c r="G34" s="241">
        <f>SUM(G35:G36)</f>
        <v>0</v>
      </c>
      <c r="H34" s="241">
        <f>SUM(H35:H36)</f>
        <v>0</v>
      </c>
      <c r="I34" s="246">
        <f>SUM(I35:I36)</f>
        <v>0</v>
      </c>
      <c r="J34" s="919" t="s">
        <v>1358</v>
      </c>
      <c r="K34" s="920"/>
      <c r="L34" s="920"/>
      <c r="M34" s="920"/>
      <c r="N34" s="921"/>
      <c r="O34" s="730"/>
      <c r="P34" s="383"/>
    </row>
    <row r="35" spans="1:27" ht="45" customHeight="1" x14ac:dyDescent="0.35">
      <c r="B35" s="398" t="s">
        <v>48</v>
      </c>
      <c r="C35" s="399" t="s">
        <v>49</v>
      </c>
      <c r="D35" s="400" t="s">
        <v>1482</v>
      </c>
      <c r="E35" s="385" t="s">
        <v>39</v>
      </c>
      <c r="F35" s="86"/>
      <c r="G35" s="86"/>
      <c r="H35" s="86"/>
      <c r="I35" s="98"/>
      <c r="J35" s="396">
        <f>IFERROR(INDEX(EF!$C$40:$C$49,MATCH("Fyringsolie (gasolie)",EF!$A$40:$A$49,0)),"")</f>
        <v>0.26624334440826636</v>
      </c>
      <c r="K35" s="397">
        <f>IFERROR(INDEX(EF!$E$40:$E$49,MATCH("fyringsolie (gasolie)",EF!$A$40:$A$49,0)),"")</f>
        <v>0.26633663366336635</v>
      </c>
      <c r="L35" s="397">
        <f>IFERROR(INDEX(EF!$G$40:$G$49,MATCH("fyringsolie (gasolie)",EF!$A$40:$A$49,0)),"")</f>
        <v>0.26633663366336635</v>
      </c>
      <c r="M35" s="397">
        <f>IFERROR(INDEX(EF!$I$40:$I$49,MATCH("fyringsolie (gasolie)",EF!$A$40:$A$49,0)),"")</f>
        <v>0.26633663366336635</v>
      </c>
      <c r="N35" s="392" t="s">
        <v>42</v>
      </c>
      <c r="O35" s="730"/>
      <c r="P35" s="383"/>
      <c r="S35" s="383"/>
      <c r="T35" s="383"/>
      <c r="U35" s="383"/>
      <c r="V35" s="383"/>
      <c r="W35" s="383"/>
      <c r="X35" s="383"/>
      <c r="Y35" s="383"/>
      <c r="Z35" s="383"/>
      <c r="AA35" s="383"/>
    </row>
    <row r="36" spans="1:27" ht="45" customHeight="1" x14ac:dyDescent="0.35">
      <c r="B36" s="398" t="s">
        <v>247</v>
      </c>
      <c r="C36" s="399" t="s">
        <v>1165</v>
      </c>
      <c r="D36" s="400" t="s">
        <v>1483</v>
      </c>
      <c r="E36" s="401" t="s">
        <v>39</v>
      </c>
      <c r="F36" s="243"/>
      <c r="G36" s="243"/>
      <c r="H36" s="243"/>
      <c r="I36" s="248"/>
      <c r="J36" s="396">
        <f>IFERROR(INDEX(EF!$C$40:$C$49,MATCH("Fuelolie",EF!$A$40:$A$49,0)),0)</f>
        <v>0.28474081914867888</v>
      </c>
      <c r="K36" s="397">
        <f>IFERROR(INDEX(EF!$E$40:$E$49,MATCH("Fuelolie",EF!$A$40:$A$49,0)),0)</f>
        <v>0.28468468468468466</v>
      </c>
      <c r="L36" s="397">
        <f>IFERROR(INDEX(EF!$G$40:$G$49,MATCH("Fuelolie",EF!$A$40:$A$49,0)),0)</f>
        <v>0.28468468468468466</v>
      </c>
      <c r="M36" s="397">
        <f>IFERROR(INDEX(EF!$I$40:$I$49,MATCH("Fuelolie",EF!$A$40:$A$49,0)),0)</f>
        <v>0.28468468468468466</v>
      </c>
      <c r="N36" s="392" t="s">
        <v>42</v>
      </c>
      <c r="O36" s="730"/>
      <c r="P36" s="383"/>
      <c r="S36" s="383"/>
      <c r="T36" s="383"/>
      <c r="U36" s="383"/>
      <c r="V36" s="383"/>
      <c r="W36" s="383"/>
      <c r="X36" s="383"/>
      <c r="Y36" s="383"/>
      <c r="Z36" s="383"/>
      <c r="AA36" s="383"/>
    </row>
    <row r="37" spans="1:27" ht="45" customHeight="1" x14ac:dyDescent="0.35">
      <c r="B37" s="393" t="s">
        <v>144</v>
      </c>
      <c r="C37" s="390" t="s">
        <v>52</v>
      </c>
      <c r="D37" s="385" t="s">
        <v>53</v>
      </c>
      <c r="E37" s="395" t="s">
        <v>39</v>
      </c>
      <c r="F37" s="240">
        <f>IF(ISNUMBER(INDEX('Data SPV trans'!$M$6:$M$110,MATCH($C$2,'Data SPV trans'!$A$6:$A$110,0))),INDEX('Data SPV trans'!$M$6:$M$110,MATCH($C$2,'Data SPV trans'!$A$6:$A$110,0)),0)</f>
        <v>0</v>
      </c>
      <c r="G37" s="86"/>
      <c r="H37" s="86"/>
      <c r="I37" s="98"/>
      <c r="J37" s="212" t="s">
        <v>145</v>
      </c>
      <c r="K37" s="510">
        <f>IF(ISNUMBER(J37),J37,0)</f>
        <v>0</v>
      </c>
      <c r="L37" s="510">
        <f t="shared" ref="L37:M37" si="2">IF(ISNUMBER(K37),K37,"")</f>
        <v>0</v>
      </c>
      <c r="M37" s="510">
        <f t="shared" si="2"/>
        <v>0</v>
      </c>
      <c r="N37" s="392" t="s">
        <v>42</v>
      </c>
      <c r="O37" s="731" t="s">
        <v>55</v>
      </c>
      <c r="P37" s="383"/>
      <c r="S37" s="383"/>
      <c r="T37" s="383"/>
      <c r="U37" s="383"/>
      <c r="V37" s="383"/>
      <c r="W37" s="383"/>
      <c r="X37" s="383"/>
      <c r="Y37" s="383"/>
      <c r="Z37" s="383"/>
      <c r="AA37" s="383"/>
    </row>
    <row r="38" spans="1:27" ht="45" customHeight="1" x14ac:dyDescent="0.35">
      <c r="B38" s="393" t="s">
        <v>146</v>
      </c>
      <c r="C38" s="390" t="s">
        <v>56</v>
      </c>
      <c r="D38" s="400" t="s">
        <v>1514</v>
      </c>
      <c r="E38" s="395" t="s">
        <v>39</v>
      </c>
      <c r="F38" s="240">
        <f>IF(ISNUMBER(INDEX('Data SPV trans'!$N$6:$N$110,MATCH($C$2,'Data SPV trans'!$A$6:$A$110,0))),INDEX('Data SPV trans'!$N$6:$N$110,MATCH($C$2,'Data SPV trans'!$A$6:$A$110,0)),SUM(F39:F41))</f>
        <v>0</v>
      </c>
      <c r="G38" s="241">
        <f>SUM(G39:G41)</f>
        <v>0</v>
      </c>
      <c r="H38" s="241">
        <f t="shared" ref="H38:I38" si="3">SUM(H39:H41)</f>
        <v>0</v>
      </c>
      <c r="I38" s="246">
        <f t="shared" si="3"/>
        <v>0</v>
      </c>
      <c r="J38" s="919" t="s">
        <v>1358</v>
      </c>
      <c r="K38" s="920"/>
      <c r="L38" s="920"/>
      <c r="M38" s="920"/>
      <c r="N38" s="921"/>
      <c r="O38" s="730"/>
      <c r="P38" s="383"/>
      <c r="S38" s="383"/>
      <c r="T38" s="383"/>
      <c r="U38" s="383"/>
      <c r="V38" s="383"/>
      <c r="W38" s="383"/>
      <c r="X38" s="383"/>
      <c r="Y38" s="383"/>
      <c r="Z38" s="383"/>
      <c r="AA38" s="383"/>
    </row>
    <row r="39" spans="1:27" ht="45" customHeight="1" x14ac:dyDescent="0.35">
      <c r="B39" s="398" t="s">
        <v>57</v>
      </c>
      <c r="C39" s="399" t="s">
        <v>58</v>
      </c>
      <c r="D39" s="400" t="s">
        <v>1478</v>
      </c>
      <c r="E39" s="385" t="s">
        <v>39</v>
      </c>
      <c r="F39" s="86"/>
      <c r="G39" s="86"/>
      <c r="H39" s="86"/>
      <c r="I39" s="98"/>
      <c r="J39" s="396">
        <f>IFERROR(INDEX(EF!$C$40:$C$49,MATCH("Træpiller",EF!$A$40:$A$49,0)),"")</f>
        <v>4.2345679012345677E-3</v>
      </c>
      <c r="K39" s="397">
        <f>IFERROR(INDEX(EF!$E$40:$E$49,MATCH("Træpiller",EF!$A$40:$A$49,0)),"")</f>
        <v>4.2386831275720164E-3</v>
      </c>
      <c r="L39" s="397">
        <f>IFERROR(INDEX(EF!$G$40:$G$49,MATCH("træpiller",EF!$A$40:$A$49,0)),"")</f>
        <v>4.2386831275720164E-3</v>
      </c>
      <c r="M39" s="397">
        <f>IFERROR(INDEX(EF!$I$40:$I$49,MATCH("træpiller",EF!$A$40:$A$49,0)),"")</f>
        <v>4.2386831275720164E-3</v>
      </c>
      <c r="N39" s="392" t="s">
        <v>42</v>
      </c>
      <c r="O39" s="730"/>
      <c r="P39" s="383"/>
      <c r="S39" s="383"/>
      <c r="T39" s="383"/>
      <c r="U39" s="383"/>
      <c r="V39" s="383"/>
      <c r="W39" s="383"/>
      <c r="X39" s="383"/>
      <c r="Y39" s="383"/>
      <c r="Z39" s="383"/>
      <c r="AA39" s="383"/>
    </row>
    <row r="40" spans="1:27" ht="45" customHeight="1" x14ac:dyDescent="0.35">
      <c r="B40" s="398" t="s">
        <v>60</v>
      </c>
      <c r="C40" s="399" t="s">
        <v>61</v>
      </c>
      <c r="D40" s="400" t="s">
        <v>1479</v>
      </c>
      <c r="E40" s="395" t="s">
        <v>39</v>
      </c>
      <c r="F40" s="86"/>
      <c r="G40" s="86"/>
      <c r="H40" s="86"/>
      <c r="I40" s="98"/>
      <c r="J40" s="396">
        <f>IFERROR(INDEX(EF!$C$40:$C$49,MATCH("træflis",EF!$A$40:$A$49,0)),"")</f>
        <v>6.4311591695501739E-3</v>
      </c>
      <c r="K40" s="397">
        <f>IFERROR(INDEX(EF!$E$40:$E$49,MATCH("træflis",EF!$A$40:$A$49,0)),"")</f>
        <v>6.4359861591695502E-3</v>
      </c>
      <c r="L40" s="397">
        <f>IFERROR(INDEX(EF!$G$40:$G$49,MATCH("træflis",EF!$A$40:$A$49,0)),"")</f>
        <v>6.4359861591695502E-3</v>
      </c>
      <c r="M40" s="397">
        <f>IFERROR(INDEX(EF!$I$40:$I$49,MATCH("træflis",EF!$A$40:$A$49,0)),"")</f>
        <v>6.4359861591695502E-3</v>
      </c>
      <c r="N40" s="392" t="s">
        <v>42</v>
      </c>
      <c r="O40" s="730"/>
      <c r="P40" s="383"/>
      <c r="S40" s="383"/>
      <c r="T40" s="383"/>
      <c r="U40" s="383"/>
      <c r="V40" s="383"/>
      <c r="W40" s="383"/>
      <c r="X40" s="383"/>
      <c r="Y40" s="383"/>
      <c r="Z40" s="383"/>
      <c r="AA40" s="383"/>
    </row>
    <row r="41" spans="1:27" ht="45" customHeight="1" thickBot="1" x14ac:dyDescent="0.4">
      <c r="B41" s="398" t="s">
        <v>63</v>
      </c>
      <c r="C41" s="404" t="s">
        <v>64</v>
      </c>
      <c r="D41" s="405" t="s">
        <v>1480</v>
      </c>
      <c r="E41" s="380" t="s">
        <v>39</v>
      </c>
      <c r="F41" s="218"/>
      <c r="G41" s="218"/>
      <c r="H41" s="218"/>
      <c r="I41" s="219"/>
      <c r="J41" s="406">
        <f>IFERROR(INDEX(EF!$C$40:$C$49,MATCH("halm",EF!$A$40:$A$49,0)),"")</f>
        <v>6.951364764267989E-3</v>
      </c>
      <c r="K41" s="407">
        <f>IFERROR(INDEX(EF!$E$40:$E$49,MATCH("halm",EF!$A$40:$A$49,0)),"")</f>
        <v>6.9478908188585599E-3</v>
      </c>
      <c r="L41" s="407">
        <f>IFERROR(INDEX(EF!$G$40:$G$49,MATCH("halm",EF!$A$40:$A$49,0)),"")</f>
        <v>6.9478908188585599E-3</v>
      </c>
      <c r="M41" s="407">
        <f>IFERROR(INDEX(EF!$I$40:$I$49,MATCH("halm",EF!$A$40:$A$49,0)),"")</f>
        <v>6.9478908188585599E-3</v>
      </c>
      <c r="N41" s="408" t="s">
        <v>42</v>
      </c>
      <c r="O41" s="732"/>
      <c r="P41" s="383"/>
      <c r="S41" s="383"/>
      <c r="T41" s="383"/>
      <c r="U41" s="383"/>
      <c r="V41" s="383"/>
      <c r="W41" s="383"/>
      <c r="X41" s="383"/>
      <c r="Y41" s="383"/>
      <c r="Z41" s="383"/>
      <c r="AA41" s="383"/>
    </row>
    <row r="42" spans="1:27" ht="45" customHeight="1" x14ac:dyDescent="0.35">
      <c r="B42" s="383"/>
      <c r="C42" s="409" t="s">
        <v>66</v>
      </c>
      <c r="D42" s="410"/>
      <c r="E42" s="411">
        <f>EF!C53</f>
        <v>4.7868065418002384E-2</v>
      </c>
      <c r="F42" s="412" t="s">
        <v>42</v>
      </c>
      <c r="H42" s="383"/>
      <c r="I42" s="383"/>
      <c r="J42" s="413"/>
      <c r="K42" s="413"/>
      <c r="L42" s="413"/>
      <c r="M42" s="413"/>
      <c r="O42" s="414"/>
      <c r="P42" s="383"/>
      <c r="S42" s="383"/>
      <c r="T42" s="383"/>
      <c r="U42" s="383"/>
      <c r="V42" s="383"/>
      <c r="W42" s="383"/>
      <c r="X42" s="383"/>
      <c r="Y42" s="383"/>
      <c r="Z42" s="383"/>
      <c r="AA42" s="383"/>
    </row>
    <row r="43" spans="1:27" ht="45" customHeight="1" thickBot="1" x14ac:dyDescent="0.4">
      <c r="B43" s="383"/>
      <c r="C43" s="415"/>
      <c r="D43" s="415"/>
      <c r="E43" s="383"/>
      <c r="F43" s="383"/>
      <c r="G43" s="383"/>
      <c r="H43" s="383"/>
      <c r="I43" s="383"/>
      <c r="J43" s="413"/>
      <c r="K43" s="413"/>
      <c r="L43" s="413"/>
      <c r="M43" s="413"/>
      <c r="O43" s="414"/>
      <c r="P43" s="383"/>
      <c r="S43" s="383"/>
      <c r="T43" s="383"/>
      <c r="U43" s="383"/>
      <c r="V43" s="383"/>
      <c r="W43" s="383"/>
      <c r="X43" s="383"/>
      <c r="Y43" s="383"/>
      <c r="Z43" s="383"/>
      <c r="AA43" s="383"/>
    </row>
    <row r="44" spans="1:27" ht="45" customHeight="1" thickBot="1" x14ac:dyDescent="0.55000000000000004">
      <c r="B44" s="383"/>
      <c r="C44" s="362" t="s">
        <v>76</v>
      </c>
      <c r="D44" s="363"/>
      <c r="E44" s="364"/>
      <c r="F44" s="364"/>
      <c r="G44" s="364"/>
      <c r="H44" s="364"/>
      <c r="I44" s="364"/>
      <c r="J44" s="417"/>
      <c r="K44" s="417"/>
      <c r="L44" s="418"/>
      <c r="M44" s="418"/>
      <c r="N44" s="419"/>
      <c r="O44" s="366" t="s">
        <v>1441</v>
      </c>
      <c r="P44" s="383"/>
      <c r="Q44" s="3"/>
      <c r="R44" s="383"/>
      <c r="S44" s="383"/>
      <c r="T44" s="383"/>
      <c r="U44" s="383"/>
      <c r="V44" s="383"/>
      <c r="W44" s="383"/>
      <c r="X44" s="383"/>
      <c r="Y44" s="383"/>
      <c r="Z44" s="383"/>
      <c r="AA44" s="383"/>
    </row>
    <row r="45" spans="1:27" ht="45" customHeight="1" x14ac:dyDescent="0.35">
      <c r="B45" s="383"/>
      <c r="C45" s="931" t="s">
        <v>77</v>
      </c>
      <c r="D45" s="932"/>
      <c r="E45" s="933"/>
      <c r="F45" s="420" t="s">
        <v>32</v>
      </c>
      <c r="G45" s="421"/>
      <c r="H45" s="422" t="s">
        <v>33</v>
      </c>
      <c r="I45" s="422"/>
      <c r="J45" s="908" t="s">
        <v>34</v>
      </c>
      <c r="K45" s="909"/>
      <c r="L45" s="909"/>
      <c r="M45" s="909"/>
      <c r="N45" s="910"/>
      <c r="O45" s="438" t="s">
        <v>36</v>
      </c>
      <c r="P45" s="383"/>
      <c r="R45" s="383"/>
      <c r="X45" s="383"/>
      <c r="Y45" s="383"/>
      <c r="Z45" s="383"/>
      <c r="AA45" s="383"/>
    </row>
    <row r="46" spans="1:27" ht="45" customHeight="1" x14ac:dyDescent="0.35">
      <c r="B46" s="296"/>
      <c r="C46" s="905" t="s">
        <v>1299</v>
      </c>
      <c r="D46" s="906"/>
      <c r="E46" s="907"/>
      <c r="F46" s="424">
        <v>2023</v>
      </c>
      <c r="G46" s="425">
        <v>2025</v>
      </c>
      <c r="H46" s="425">
        <f>G46+5</f>
        <v>2030</v>
      </c>
      <c r="I46" s="426">
        <f>H46+5</f>
        <v>2035</v>
      </c>
      <c r="J46" s="374">
        <v>2023</v>
      </c>
      <c r="K46" s="375">
        <v>2025</v>
      </c>
      <c r="L46" s="375">
        <v>2030</v>
      </c>
      <c r="M46" s="375">
        <v>2035</v>
      </c>
      <c r="N46" s="376" t="s">
        <v>35</v>
      </c>
      <c r="O46" s="440"/>
      <c r="P46" s="383"/>
      <c r="R46" s="383"/>
      <c r="S46" s="122"/>
      <c r="X46" s="383"/>
      <c r="Y46" s="383"/>
      <c r="Z46" s="383"/>
      <c r="AA46" s="383"/>
    </row>
    <row r="47" spans="1:27" ht="45" customHeight="1" x14ac:dyDescent="0.35">
      <c r="A47" s="3"/>
      <c r="B47" s="441" t="s">
        <v>78</v>
      </c>
      <c r="C47" s="442" t="s">
        <v>79</v>
      </c>
      <c r="D47" s="401" t="s">
        <v>80</v>
      </c>
      <c r="E47" s="385" t="s">
        <v>81</v>
      </c>
      <c r="F47" s="86"/>
      <c r="G47" s="86"/>
      <c r="H47" s="86"/>
      <c r="I47" s="98"/>
      <c r="J47" s="443">
        <f>IFERROR(INDEX(EF!$C$24:$C$33,MATCH("diesel",EF!$A$24:$A$33,0)),"")</f>
        <v>2.6911905369127518</v>
      </c>
      <c r="K47" s="444">
        <f>IFERROR(INDEX(EF!$E$24:$E$33,MATCH("diesel",EF!$A$24:$A$33,0)),"")</f>
        <v>2.6911905369127518</v>
      </c>
      <c r="L47" s="444">
        <f>IFERROR(INDEX(EF!$G$24:$G$33,MATCH("diesel",EF!$A$24:$A$33,0)),"")</f>
        <v>2.6911905369127518</v>
      </c>
      <c r="M47" s="444">
        <f>IFERROR(INDEX(EF!$I$24:$I$33,MATCH("diesel",EF!$A$24:$A$33,0)),"")</f>
        <v>2.6911905369127518</v>
      </c>
      <c r="N47" s="445" t="s">
        <v>82</v>
      </c>
      <c r="O47" s="104"/>
      <c r="P47" s="383"/>
      <c r="Q47" s="122"/>
      <c r="R47" s="383"/>
      <c r="S47" s="122"/>
      <c r="X47" s="383"/>
      <c r="Y47" s="383"/>
      <c r="Z47" s="383"/>
      <c r="AA47" s="383"/>
    </row>
    <row r="48" spans="1:27" ht="45" customHeight="1" thickBot="1" x14ac:dyDescent="0.4">
      <c r="A48" s="3"/>
      <c r="B48" s="441" t="s">
        <v>83</v>
      </c>
      <c r="C48" s="446" t="s">
        <v>84</v>
      </c>
      <c r="D48" s="447" t="s">
        <v>80</v>
      </c>
      <c r="E48" s="380" t="s">
        <v>81</v>
      </c>
      <c r="F48" s="218"/>
      <c r="G48" s="218"/>
      <c r="H48" s="218"/>
      <c r="I48" s="219"/>
      <c r="J48" s="448">
        <f>IFERROR(INDEX(EF!$C$24:$C$33,MATCH("benzin",EF!$A$24:$A$33,0)),"")</f>
        <v>2.4122153463087246</v>
      </c>
      <c r="K48" s="449">
        <f>IFERROR(INDEX(EF!$E$24:$E$33,MATCH("benzin",EF!$A$24:$A$33,0)),"")</f>
        <v>2.4122153463087246</v>
      </c>
      <c r="L48" s="449">
        <f>IFERROR(INDEX(EF!$G$24:$G$33,MATCH("benzin",EF!$A$24:$A$33,0)),"")</f>
        <v>2.4122153463087246</v>
      </c>
      <c r="M48" s="449">
        <f>IFERROR(INDEX(EF!$I$24:$I$33,MATCH("benzin",EF!$A$24:$A$33,0)),"")</f>
        <v>2.4122153463087246</v>
      </c>
      <c r="N48" s="433" t="s">
        <v>82</v>
      </c>
      <c r="O48" s="108"/>
      <c r="P48" s="383"/>
      <c r="Q48" s="122"/>
      <c r="R48" s="383"/>
      <c r="S48" s="124"/>
      <c r="X48" s="383"/>
      <c r="Y48" s="383"/>
      <c r="Z48" s="383"/>
      <c r="AA48" s="383"/>
    </row>
    <row r="49" spans="1:27" ht="45" customHeight="1" x14ac:dyDescent="0.35">
      <c r="B49" s="383"/>
      <c r="C49" s="415"/>
      <c r="D49" s="415"/>
      <c r="E49" s="383"/>
      <c r="F49" s="123"/>
      <c r="G49" s="123"/>
      <c r="H49" s="123"/>
      <c r="I49" s="123"/>
      <c r="J49" s="413"/>
      <c r="K49" s="383"/>
      <c r="L49" s="383"/>
      <c r="M49" s="383"/>
      <c r="O49" s="414"/>
      <c r="P49" s="383"/>
      <c r="Q49" s="124"/>
      <c r="R49" s="383"/>
      <c r="S49" s="124"/>
      <c r="X49" s="383"/>
      <c r="Y49" s="383"/>
      <c r="Z49" s="383"/>
      <c r="AA49" s="383"/>
    </row>
    <row r="50" spans="1:27" ht="45" customHeight="1" x14ac:dyDescent="0.35">
      <c r="B50" s="383"/>
      <c r="C50" s="383"/>
      <c r="D50" s="383"/>
      <c r="E50" s="383"/>
      <c r="F50" s="383"/>
      <c r="G50" s="383"/>
      <c r="H50" s="383"/>
      <c r="I50" s="383"/>
      <c r="J50" s="383"/>
      <c r="K50" s="383"/>
      <c r="L50" s="383"/>
      <c r="M50" s="383"/>
      <c r="O50" s="389"/>
      <c r="P50" s="383"/>
      <c r="Q50" s="124"/>
      <c r="R50" s="383"/>
      <c r="S50" s="383"/>
      <c r="T50" s="383"/>
      <c r="U50" s="383"/>
      <c r="V50" s="383"/>
      <c r="W50" s="383"/>
      <c r="X50" s="383"/>
      <c r="Y50" s="383"/>
      <c r="Z50" s="383"/>
      <c r="AA50" s="383"/>
    </row>
    <row r="51" spans="1:27" ht="45" customHeight="1" x14ac:dyDescent="0.5">
      <c r="B51" s="450" t="s">
        <v>1436</v>
      </c>
      <c r="C51" s="451"/>
      <c r="D51" s="451"/>
      <c r="E51" s="451"/>
      <c r="F51" s="451"/>
      <c r="G51" s="451"/>
      <c r="H51" s="451"/>
      <c r="I51" s="451"/>
      <c r="J51" s="451"/>
      <c r="K51" s="451"/>
      <c r="L51" s="451"/>
      <c r="M51" s="451"/>
      <c r="N51" s="451"/>
      <c r="O51" s="452"/>
      <c r="P51" s="451"/>
      <c r="Q51" s="383"/>
      <c r="R51" s="383"/>
      <c r="S51" s="383"/>
      <c r="T51" s="383"/>
      <c r="U51" s="383"/>
      <c r="V51" s="383"/>
      <c r="W51" s="383"/>
      <c r="X51" s="383"/>
      <c r="Y51" s="383"/>
      <c r="Z51" s="383"/>
      <c r="AA51" s="383"/>
    </row>
    <row r="52" spans="1:27" ht="45" customHeight="1" thickBot="1" x14ac:dyDescent="0.4">
      <c r="B52" s="383"/>
      <c r="C52" s="383"/>
      <c r="D52" s="383"/>
      <c r="E52" s="383"/>
      <c r="F52" s="383"/>
      <c r="G52" s="383"/>
      <c r="H52" s="383"/>
      <c r="I52" s="383"/>
      <c r="J52" s="383"/>
      <c r="K52" s="383"/>
      <c r="L52" s="383"/>
      <c r="M52" s="383"/>
      <c r="O52" s="389"/>
      <c r="P52" s="383"/>
      <c r="Q52" s="383"/>
      <c r="R52" s="383"/>
      <c r="S52" s="383"/>
      <c r="T52" s="383"/>
      <c r="U52" s="383"/>
      <c r="V52" s="383"/>
      <c r="W52" s="383"/>
      <c r="X52" s="383"/>
      <c r="Y52" s="383"/>
    </row>
    <row r="53" spans="1:27" ht="45" customHeight="1" thickBot="1" x14ac:dyDescent="0.55000000000000004">
      <c r="A53" s="454"/>
      <c r="B53" s="383"/>
      <c r="C53" s="362" t="s">
        <v>40</v>
      </c>
      <c r="D53" s="363"/>
      <c r="E53" s="364"/>
      <c r="F53" s="364"/>
      <c r="G53" s="364"/>
      <c r="H53" s="364"/>
      <c r="I53" s="364"/>
      <c r="J53" s="417"/>
      <c r="K53" s="417"/>
      <c r="L53" s="418"/>
      <c r="M53" s="418"/>
      <c r="N53" s="419"/>
      <c r="O53" s="366" t="s">
        <v>1442</v>
      </c>
      <c r="P53" s="383"/>
      <c r="Q53" s="383"/>
      <c r="R53" s="383"/>
      <c r="S53" s="383"/>
      <c r="T53" s="383"/>
      <c r="U53" s="383"/>
      <c r="V53" s="383"/>
      <c r="W53" s="383"/>
      <c r="X53" s="383"/>
      <c r="Y53" s="383"/>
      <c r="Z53" s="383"/>
      <c r="AA53" s="383"/>
    </row>
    <row r="54" spans="1:27" ht="45" customHeight="1" x14ac:dyDescent="0.35">
      <c r="A54" s="454"/>
      <c r="B54" s="383"/>
      <c r="C54" s="902" t="s">
        <v>85</v>
      </c>
      <c r="D54" s="903"/>
      <c r="E54" s="904"/>
      <c r="F54" s="420" t="s">
        <v>32</v>
      </c>
      <c r="G54" s="421"/>
      <c r="H54" s="369" t="s">
        <v>33</v>
      </c>
      <c r="I54" s="422"/>
      <c r="J54" s="908" t="s">
        <v>34</v>
      </c>
      <c r="K54" s="909"/>
      <c r="L54" s="909"/>
      <c r="M54" s="909"/>
      <c r="N54" s="910"/>
      <c r="O54" s="438" t="s">
        <v>36</v>
      </c>
      <c r="P54" s="383"/>
      <c r="Q54" s="389"/>
    </row>
    <row r="55" spans="1:27" ht="45" customHeight="1" x14ac:dyDescent="0.35">
      <c r="A55" s="455"/>
      <c r="B55" s="383"/>
      <c r="C55" s="468"/>
      <c r="D55" s="457"/>
      <c r="E55" s="458"/>
      <c r="F55" s="425">
        <v>2023</v>
      </c>
      <c r="G55" s="425">
        <v>2025</v>
      </c>
      <c r="H55" s="425">
        <f>G55+5</f>
        <v>2030</v>
      </c>
      <c r="I55" s="426">
        <f>H55+5</f>
        <v>2035</v>
      </c>
      <c r="J55" s="374">
        <v>2023</v>
      </c>
      <c r="K55" s="375">
        <v>2025</v>
      </c>
      <c r="L55" s="375">
        <v>2030</v>
      </c>
      <c r="M55" s="375">
        <v>2035</v>
      </c>
      <c r="N55" s="376" t="s">
        <v>35</v>
      </c>
      <c r="O55" s="440"/>
      <c r="P55" s="383"/>
      <c r="R55" s="122"/>
    </row>
    <row r="56" spans="1:27" ht="45" customHeight="1" thickBot="1" x14ac:dyDescent="0.4">
      <c r="A56" s="455"/>
      <c r="B56" s="383"/>
      <c r="C56" s="462" t="s">
        <v>40</v>
      </c>
      <c r="D56" s="463" t="s">
        <v>86</v>
      </c>
      <c r="E56" s="380" t="s">
        <v>39</v>
      </c>
      <c r="F56" s="238">
        <f>F32</f>
        <v>0</v>
      </c>
      <c r="G56" s="238">
        <f>G32</f>
        <v>0</v>
      </c>
      <c r="H56" s="238">
        <f>H32</f>
        <v>0</v>
      </c>
      <c r="I56" s="239">
        <f>I32</f>
        <v>0</v>
      </c>
      <c r="J56" s="464">
        <f>IF(AND(ISNUMBER(J32),J32&gt;0),J32,E42)</f>
        <v>4.7868065418002384E-2</v>
      </c>
      <c r="K56" s="465">
        <f>K32</f>
        <v>3.6957164362437726E-2</v>
      </c>
      <c r="L56" s="465">
        <f>L32</f>
        <v>1.8894210049639697E-2</v>
      </c>
      <c r="M56" s="465">
        <f>M32</f>
        <v>1.1739632740217762E-2</v>
      </c>
      <c r="N56" s="433" t="s">
        <v>42</v>
      </c>
      <c r="O56" s="108"/>
      <c r="P56" s="383"/>
      <c r="R56" s="122"/>
    </row>
    <row r="57" spans="1:27" ht="45" customHeight="1" x14ac:dyDescent="0.35">
      <c r="A57" s="454"/>
      <c r="B57" s="453"/>
      <c r="C57" s="409" t="s">
        <v>66</v>
      </c>
      <c r="D57" s="410"/>
      <c r="E57" s="411">
        <f>EF!C53</f>
        <v>4.7868065418002384E-2</v>
      </c>
      <c r="F57" s="412" t="s">
        <v>42</v>
      </c>
      <c r="H57" s="453"/>
      <c r="I57" s="453"/>
      <c r="J57" s="453"/>
      <c r="K57" s="453"/>
      <c r="L57" s="453"/>
      <c r="M57" s="453"/>
      <c r="O57" s="467"/>
      <c r="P57" s="453"/>
      <c r="R57" s="124"/>
    </row>
    <row r="58" spans="1:27" ht="45" customHeight="1" thickBot="1" x14ac:dyDescent="0.4">
      <c r="A58" s="454"/>
      <c r="B58" s="453"/>
      <c r="C58" s="409"/>
      <c r="D58" s="410"/>
      <c r="E58" s="453"/>
      <c r="F58" s="466"/>
      <c r="G58" s="412"/>
      <c r="H58" s="453"/>
      <c r="I58" s="453"/>
      <c r="J58" s="453"/>
      <c r="K58" s="453"/>
      <c r="L58" s="453"/>
      <c r="M58" s="453"/>
      <c r="O58" s="467"/>
      <c r="P58" s="453"/>
      <c r="R58" s="124"/>
    </row>
    <row r="59" spans="1:27" ht="45" customHeight="1" thickBot="1" x14ac:dyDescent="0.55000000000000004">
      <c r="A59" s="454"/>
      <c r="B59" s="453"/>
      <c r="C59" s="362" t="s">
        <v>87</v>
      </c>
      <c r="D59" s="363"/>
      <c r="E59" s="364"/>
      <c r="F59" s="364"/>
      <c r="G59" s="364"/>
      <c r="H59" s="364"/>
      <c r="I59" s="364"/>
      <c r="J59" s="417"/>
      <c r="K59" s="417"/>
      <c r="L59" s="418"/>
      <c r="M59" s="418"/>
      <c r="N59" s="419"/>
      <c r="O59" s="366" t="s">
        <v>1443</v>
      </c>
      <c r="R59" s="383"/>
      <c r="S59" s="453"/>
      <c r="T59" s="453"/>
      <c r="U59" s="453"/>
      <c r="V59" s="453"/>
      <c r="W59" s="453"/>
      <c r="X59" s="453"/>
      <c r="Y59" s="383"/>
      <c r="Z59" s="383"/>
      <c r="AA59" s="383"/>
    </row>
    <row r="60" spans="1:27" ht="45" customHeight="1" x14ac:dyDescent="0.35">
      <c r="A60" s="454"/>
      <c r="B60" s="453"/>
      <c r="C60" s="902" t="s">
        <v>88</v>
      </c>
      <c r="D60" s="903"/>
      <c r="E60" s="904"/>
      <c r="F60" s="420" t="s">
        <v>32</v>
      </c>
      <c r="G60" s="368"/>
      <c r="H60" s="422" t="s">
        <v>33</v>
      </c>
      <c r="I60" s="422"/>
      <c r="J60" s="908" t="s">
        <v>34</v>
      </c>
      <c r="K60" s="909"/>
      <c r="L60" s="909"/>
      <c r="M60" s="909"/>
      <c r="N60" s="910"/>
      <c r="O60" s="438" t="s">
        <v>36</v>
      </c>
      <c r="Q60" s="467"/>
      <c r="R60" s="383"/>
      <c r="S60" s="453"/>
      <c r="T60" s="453"/>
      <c r="U60" s="453"/>
      <c r="V60" s="453"/>
      <c r="W60" s="453"/>
      <c r="X60" s="453"/>
      <c r="Y60" s="383"/>
      <c r="Z60" s="383"/>
      <c r="AA60" s="383"/>
    </row>
    <row r="61" spans="1:27" ht="45" customHeight="1" x14ac:dyDescent="0.35">
      <c r="A61" s="454"/>
      <c r="B61" s="453"/>
      <c r="C61" s="516" t="s">
        <v>89</v>
      </c>
      <c r="D61" s="517" t="str">
        <f>IF(Basisoplysninger!J7=1,"DK vest","DK øst")</f>
        <v>DK vest</v>
      </c>
      <c r="E61" s="458"/>
      <c r="F61" s="425">
        <v>2023</v>
      </c>
      <c r="G61" s="425">
        <v>2025</v>
      </c>
      <c r="H61" s="425">
        <f t="shared" ref="H61:I61" si="4">G61+5</f>
        <v>2030</v>
      </c>
      <c r="I61" s="426">
        <f t="shared" si="4"/>
        <v>2035</v>
      </c>
      <c r="J61" s="374">
        <v>2023</v>
      </c>
      <c r="K61" s="375">
        <v>2025</v>
      </c>
      <c r="L61" s="375">
        <v>2030</v>
      </c>
      <c r="M61" s="375">
        <v>2035</v>
      </c>
      <c r="N61" s="376" t="s">
        <v>35</v>
      </c>
      <c r="O61" s="440"/>
      <c r="Q61" s="467"/>
      <c r="R61" s="383"/>
      <c r="S61" s="453"/>
      <c r="T61" s="453"/>
      <c r="U61" s="453"/>
      <c r="V61" s="453"/>
      <c r="W61" s="453"/>
      <c r="X61" s="453"/>
      <c r="Y61" s="383"/>
      <c r="Z61" s="383"/>
      <c r="AA61" s="383"/>
    </row>
    <row r="62" spans="1:27" ht="45" customHeight="1" thickBot="1" x14ac:dyDescent="0.4">
      <c r="A62" s="455"/>
      <c r="B62" s="453"/>
      <c r="C62" s="462" t="s">
        <v>87</v>
      </c>
      <c r="D62" s="463" t="s">
        <v>147</v>
      </c>
      <c r="E62" s="380" t="s">
        <v>39</v>
      </c>
      <c r="F62" s="216">
        <f>IF(ISNUMBER(INDEX('Data SPV trans'!$C$6:$C$110,MATCH(Afløb!C2,'Data SPV trans'!$A$6:$A$110,0))),INDEX('Data SPV trans'!$C$6:$C$110,MATCH(Afløb!C2,'Data SPV trans'!$A$6:$A$110,0)),0)</f>
        <v>0</v>
      </c>
      <c r="G62" s="218"/>
      <c r="H62" s="218"/>
      <c r="I62" s="219"/>
      <c r="J62" s="469">
        <f>IF($D$61="DK øst",EF!C54,EF!C55)</f>
        <v>0.10340000000000001</v>
      </c>
      <c r="K62" s="470">
        <f>IF($D$61="DK øst",EF!E54,EF!E55)</f>
        <v>5.6939999999999998E-2</v>
      </c>
      <c r="L62" s="470">
        <f>IF($D$61="DK øst",EF!G54,EF!G55)</f>
        <v>2.4410000000000001E-2</v>
      </c>
      <c r="M62" s="470">
        <f>IF($D$61="DK øst",EF!I54,EF!I55)</f>
        <v>2.002E-2</v>
      </c>
      <c r="N62" s="433" t="s">
        <v>42</v>
      </c>
      <c r="O62" s="108"/>
      <c r="Q62" s="467"/>
      <c r="R62" s="383"/>
      <c r="S62" s="453"/>
      <c r="T62" s="453"/>
      <c r="U62" s="453"/>
      <c r="V62" s="453"/>
      <c r="W62" s="453"/>
      <c r="X62" s="453"/>
      <c r="Y62" s="383"/>
      <c r="Z62" s="383"/>
      <c r="AA62" s="383"/>
    </row>
    <row r="63" spans="1:27" ht="45" customHeight="1" x14ac:dyDescent="0.35">
      <c r="A63" s="455"/>
      <c r="B63" s="453"/>
      <c r="C63" s="467"/>
      <c r="D63" s="467"/>
      <c r="E63" s="453"/>
      <c r="F63" s="453"/>
      <c r="G63" s="453"/>
      <c r="H63" s="453"/>
      <c r="I63" s="453"/>
      <c r="K63" s="453"/>
      <c r="L63" s="383"/>
      <c r="M63" s="383"/>
      <c r="O63" s="389"/>
      <c r="Q63" s="467"/>
      <c r="S63" s="453"/>
      <c r="T63" s="453"/>
      <c r="U63" s="453"/>
      <c r="V63" s="453"/>
      <c r="W63" s="453"/>
      <c r="X63" s="453"/>
      <c r="Y63" s="383"/>
      <c r="Z63" s="383"/>
      <c r="AA63" s="383"/>
    </row>
    <row r="64" spans="1:27" ht="45" customHeight="1" x14ac:dyDescent="0.35">
      <c r="A64" s="454"/>
      <c r="B64" s="453"/>
      <c r="C64" s="467"/>
      <c r="D64" s="467"/>
      <c r="E64" s="453"/>
      <c r="F64" s="453"/>
      <c r="G64" s="453"/>
      <c r="H64" s="453"/>
      <c r="I64" s="453"/>
      <c r="J64" s="383"/>
      <c r="K64" s="453"/>
      <c r="L64" s="453"/>
      <c r="M64" s="453"/>
      <c r="O64" s="467"/>
      <c r="P64" s="453"/>
      <c r="Q64" s="467"/>
      <c r="S64" s="453"/>
      <c r="T64" s="453"/>
      <c r="U64" s="453"/>
      <c r="V64" s="453"/>
      <c r="W64" s="453"/>
      <c r="X64" s="453"/>
      <c r="Y64" s="383"/>
      <c r="Z64" s="383"/>
      <c r="AA64" s="383"/>
    </row>
    <row r="65" spans="2:27" ht="45" customHeight="1" x14ac:dyDescent="0.5">
      <c r="B65" s="359" t="s">
        <v>1294</v>
      </c>
      <c r="C65" s="360"/>
      <c r="D65" s="360"/>
      <c r="E65" s="360"/>
      <c r="F65" s="360"/>
      <c r="G65" s="360"/>
      <c r="H65" s="360"/>
      <c r="I65" s="360"/>
      <c r="J65" s="360"/>
      <c r="K65" s="360"/>
      <c r="L65" s="360"/>
      <c r="M65" s="360"/>
      <c r="N65" s="360"/>
      <c r="O65" s="360"/>
      <c r="P65" s="360"/>
      <c r="S65" s="453"/>
      <c r="T65" s="453"/>
      <c r="U65" s="453"/>
      <c r="V65" s="453"/>
      <c r="W65" s="453"/>
      <c r="X65" s="453"/>
      <c r="Y65" s="383"/>
      <c r="Z65" s="383"/>
      <c r="AA65" s="383"/>
    </row>
    <row r="66" spans="2:27" ht="45" customHeight="1" thickBot="1" x14ac:dyDescent="0.4">
      <c r="S66" s="453"/>
      <c r="T66" s="453"/>
      <c r="U66" s="453"/>
      <c r="V66" s="453"/>
      <c r="W66" s="453"/>
      <c r="X66" s="453"/>
      <c r="Y66" s="383"/>
    </row>
    <row r="67" spans="2:27" ht="45" customHeight="1" thickBot="1" x14ac:dyDescent="0.55000000000000004">
      <c r="C67" s="362" t="s">
        <v>1288</v>
      </c>
      <c r="D67" s="363"/>
      <c r="E67" s="364"/>
      <c r="F67" s="364"/>
      <c r="G67" s="364"/>
      <c r="H67" s="364"/>
      <c r="I67" s="364"/>
      <c r="J67" s="417"/>
      <c r="K67" s="417"/>
      <c r="L67" s="418"/>
      <c r="M67" s="418"/>
      <c r="N67" s="419"/>
      <c r="O67" s="366" t="s">
        <v>1444</v>
      </c>
      <c r="S67" s="383"/>
      <c r="T67" s="383"/>
      <c r="U67" s="383"/>
      <c r="V67" s="383"/>
      <c r="W67" s="383"/>
      <c r="X67" s="383"/>
      <c r="Y67" s="383"/>
      <c r="Z67" s="383"/>
      <c r="AA67" s="383"/>
    </row>
    <row r="68" spans="2:27" ht="45" customHeight="1" x14ac:dyDescent="0.35">
      <c r="C68" s="902" t="s">
        <v>1295</v>
      </c>
      <c r="D68" s="903"/>
      <c r="E68" s="904"/>
      <c r="F68" s="420" t="s">
        <v>32</v>
      </c>
      <c r="G68" s="421"/>
      <c r="H68" s="369" t="s">
        <v>33</v>
      </c>
      <c r="I68" s="422"/>
      <c r="J68" s="908" t="s">
        <v>34</v>
      </c>
      <c r="K68" s="909"/>
      <c r="L68" s="909"/>
      <c r="M68" s="909"/>
      <c r="N68" s="910"/>
      <c r="O68" s="423" t="s">
        <v>36</v>
      </c>
      <c r="R68" s="453"/>
      <c r="S68" s="383"/>
      <c r="T68" s="383"/>
      <c r="U68" s="383"/>
      <c r="V68" s="383"/>
      <c r="W68" s="383"/>
      <c r="X68" s="383"/>
      <c r="Y68" s="389"/>
      <c r="Z68" s="389"/>
      <c r="AA68" s="389"/>
    </row>
    <row r="69" spans="2:27" ht="45" customHeight="1" x14ac:dyDescent="0.35">
      <c r="C69" s="905" t="s">
        <v>1296</v>
      </c>
      <c r="D69" s="906"/>
      <c r="E69" s="907"/>
      <c r="F69" s="425">
        <v>2023</v>
      </c>
      <c r="G69" s="425">
        <v>2025</v>
      </c>
      <c r="H69" s="425">
        <f t="shared" ref="H69:I69" si="5">G69+5</f>
        <v>2030</v>
      </c>
      <c r="I69" s="426">
        <f t="shared" si="5"/>
        <v>2035</v>
      </c>
      <c r="J69" s="459">
        <v>2023</v>
      </c>
      <c r="K69" s="460">
        <v>2025</v>
      </c>
      <c r="L69" s="460">
        <v>2030</v>
      </c>
      <c r="M69" s="460">
        <v>2035</v>
      </c>
      <c r="N69" s="461" t="s">
        <v>35</v>
      </c>
      <c r="O69" s="377"/>
      <c r="R69" s="453"/>
      <c r="S69" s="122"/>
      <c r="T69" s="122"/>
      <c r="U69" s="122"/>
      <c r="V69" s="122"/>
      <c r="W69" s="415"/>
      <c r="X69" s="383"/>
      <c r="Y69" s="383"/>
      <c r="Z69" s="383"/>
      <c r="AA69" s="383"/>
    </row>
    <row r="70" spans="2:27" ht="45" customHeight="1" x14ac:dyDescent="0.35">
      <c r="C70" s="473" t="s">
        <v>1289</v>
      </c>
      <c r="D70" s="385" t="s">
        <v>1306</v>
      </c>
      <c r="E70" s="385" t="s">
        <v>39</v>
      </c>
      <c r="F70" s="214">
        <f>IF(ISNUMBER(INDEX('Data SPV trans'!$H$6:$H$110,MATCH(Afløb!C2,'Data SPV trans'!$A$6:$A$110,0))),INDEX('Data SPV trans'!$H$6:$H$110,MATCH(Afløb!C2,'Data SPV trans'!$A$6:$A$110,0)),0)</f>
        <v>0</v>
      </c>
      <c r="G70" s="355"/>
      <c r="H70" s="355"/>
      <c r="I70" s="356"/>
      <c r="J70" s="914" t="s">
        <v>1359</v>
      </c>
      <c r="K70" s="915"/>
      <c r="L70" s="915"/>
      <c r="M70" s="915"/>
      <c r="N70" s="445" t="s">
        <v>42</v>
      </c>
      <c r="O70" s="95"/>
      <c r="R70" s="453"/>
      <c r="S70" s="122"/>
      <c r="T70" s="122"/>
      <c r="U70" s="122"/>
      <c r="V70" s="122"/>
      <c r="W70" s="383"/>
      <c r="X70" s="383"/>
      <c r="Y70" s="383"/>
      <c r="Z70" s="383"/>
      <c r="AA70" s="383"/>
    </row>
    <row r="71" spans="2:27" ht="45" customHeight="1" thickBot="1" x14ac:dyDescent="0.4">
      <c r="C71" s="518" t="s">
        <v>1290</v>
      </c>
      <c r="D71" s="380" t="s">
        <v>1307</v>
      </c>
      <c r="E71" s="380" t="s">
        <v>39</v>
      </c>
      <c r="F71" s="216">
        <f>IF(ISNUMBER(INDEX('Data SPV trans'!$G$6:$G$110,MATCH(Afløb!C2,'Data SPV trans'!$A$6:$A$110,0))),INDEX('Data SPV trans'!$G$6:$G$110,MATCH(Afløb!C2,'Data SPV trans'!$A$6:$A$110,0)),0)</f>
        <v>0</v>
      </c>
      <c r="G71" s="357"/>
      <c r="H71" s="357"/>
      <c r="I71" s="358"/>
      <c r="J71" s="916" t="s">
        <v>1359</v>
      </c>
      <c r="K71" s="917"/>
      <c r="L71" s="917"/>
      <c r="M71" s="917"/>
      <c r="N71" s="433" t="s">
        <v>42</v>
      </c>
      <c r="O71" s="106"/>
      <c r="R71" s="453"/>
    </row>
    <row r="72" spans="2:27" ht="45" customHeight="1" x14ac:dyDescent="0.35">
      <c r="R72" s="453"/>
    </row>
    <row r="73" spans="2:27" ht="45" customHeight="1" x14ac:dyDescent="0.5">
      <c r="B73" s="359"/>
      <c r="C73" s="360"/>
      <c r="D73" s="360"/>
      <c r="E73" s="360"/>
      <c r="F73" s="360"/>
      <c r="G73" s="360"/>
      <c r="H73" s="360"/>
      <c r="I73" s="360"/>
      <c r="J73" s="360"/>
      <c r="K73" s="360"/>
      <c r="L73" s="360"/>
      <c r="M73" s="360"/>
      <c r="N73" s="360"/>
      <c r="O73" s="360"/>
      <c r="P73" s="360"/>
      <c r="R73" s="453"/>
    </row>
    <row r="74" spans="2:27" ht="45" customHeight="1" x14ac:dyDescent="0.35">
      <c r="R74" s="453"/>
    </row>
    <row r="75" spans="2:27" ht="45" customHeight="1" x14ac:dyDescent="0.35">
      <c r="R75" s="453"/>
    </row>
    <row r="76" spans="2:27" ht="45" customHeight="1" x14ac:dyDescent="0.5">
      <c r="B76" s="450" t="s">
        <v>1437</v>
      </c>
      <c r="C76" s="476"/>
      <c r="D76" s="476"/>
      <c r="E76" s="476"/>
      <c r="F76" s="476"/>
      <c r="G76" s="476"/>
      <c r="H76" s="476"/>
      <c r="I76" s="476"/>
      <c r="J76" s="476"/>
      <c r="K76" s="476"/>
      <c r="L76" s="476"/>
      <c r="M76" s="476"/>
      <c r="N76" s="476"/>
      <c r="O76" s="477"/>
      <c r="P76" s="476"/>
      <c r="Q76" s="467"/>
      <c r="R76" s="383"/>
    </row>
    <row r="77" spans="2:27" ht="45" customHeight="1" x14ac:dyDescent="0.35">
      <c r="B77" s="383"/>
      <c r="C77" s="383"/>
      <c r="D77" s="383"/>
      <c r="E77" s="383"/>
      <c r="F77" s="383"/>
      <c r="G77" s="383"/>
      <c r="H77" s="383"/>
      <c r="I77" s="383"/>
      <c r="J77" s="383"/>
      <c r="K77" s="383"/>
      <c r="L77" s="383"/>
      <c r="M77" s="383"/>
      <c r="O77" s="389"/>
      <c r="P77" s="383"/>
      <c r="Q77" s="467"/>
      <c r="R77" s="383"/>
    </row>
    <row r="78" spans="2:27" ht="45" customHeight="1" thickBot="1" x14ac:dyDescent="0.4">
      <c r="R78" s="383"/>
    </row>
    <row r="79" spans="2:27" ht="45" customHeight="1" thickBot="1" x14ac:dyDescent="0.55000000000000004">
      <c r="B79" s="383"/>
      <c r="C79" s="362" t="s">
        <v>91</v>
      </c>
      <c r="D79" s="363"/>
      <c r="E79" s="364"/>
      <c r="F79" s="364"/>
      <c r="G79" s="364"/>
      <c r="H79" s="364"/>
      <c r="I79" s="364"/>
      <c r="J79" s="364"/>
      <c r="K79" s="364"/>
      <c r="L79" s="365"/>
      <c r="M79" s="365"/>
      <c r="N79" s="419"/>
      <c r="O79" s="366" t="s">
        <v>1445</v>
      </c>
      <c r="P79" s="383"/>
      <c r="Q79" s="383"/>
      <c r="R79" s="383"/>
    </row>
    <row r="80" spans="2:27" ht="45" customHeight="1" x14ac:dyDescent="0.35">
      <c r="B80" s="383"/>
      <c r="C80" s="902" t="s">
        <v>1196</v>
      </c>
      <c r="D80" s="903"/>
      <c r="E80" s="904"/>
      <c r="F80" s="420" t="s">
        <v>32</v>
      </c>
      <c r="G80" s="368"/>
      <c r="H80" s="422" t="s">
        <v>33</v>
      </c>
      <c r="I80" s="422"/>
      <c r="J80" s="908" t="s">
        <v>34</v>
      </c>
      <c r="K80" s="909"/>
      <c r="L80" s="909"/>
      <c r="M80" s="909"/>
      <c r="N80" s="910"/>
      <c r="O80" s="423" t="s">
        <v>36</v>
      </c>
      <c r="P80" s="383"/>
      <c r="Q80" s="383"/>
    </row>
    <row r="81" spans="2:27" ht="45" customHeight="1" x14ac:dyDescent="0.35">
      <c r="B81" s="383"/>
      <c r="C81" s="905" t="s">
        <v>92</v>
      </c>
      <c r="D81" s="906"/>
      <c r="E81" s="907"/>
      <c r="F81" s="425">
        <v>2023</v>
      </c>
      <c r="G81" s="425">
        <v>2025</v>
      </c>
      <c r="H81" s="425">
        <f t="shared" ref="H81:I81" si="6">G81+5</f>
        <v>2030</v>
      </c>
      <c r="I81" s="426">
        <f t="shared" si="6"/>
        <v>2035</v>
      </c>
      <c r="J81" s="374">
        <v>2023</v>
      </c>
      <c r="K81" s="375">
        <v>2025</v>
      </c>
      <c r="L81" s="375">
        <v>2030</v>
      </c>
      <c r="M81" s="375">
        <v>2035</v>
      </c>
      <c r="N81" s="376" t="s">
        <v>35</v>
      </c>
      <c r="O81" s="377"/>
      <c r="P81" s="383"/>
      <c r="Q81" s="383"/>
      <c r="S81" s="383"/>
      <c r="T81" s="383"/>
      <c r="U81" s="383"/>
      <c r="V81" s="383"/>
      <c r="W81" s="383"/>
      <c r="X81" s="383"/>
      <c r="Y81" s="383"/>
      <c r="Z81" s="383"/>
      <c r="AA81" s="383"/>
    </row>
    <row r="82" spans="2:27" ht="45" customHeight="1" x14ac:dyDescent="0.35">
      <c r="B82" s="383"/>
      <c r="C82" s="211" t="s">
        <v>93</v>
      </c>
      <c r="D82" s="478" t="s">
        <v>94</v>
      </c>
      <c r="E82" s="385" t="s">
        <v>95</v>
      </c>
      <c r="F82" s="232"/>
      <c r="G82" s="232"/>
      <c r="H82" s="232"/>
      <c r="I82" s="233"/>
      <c r="J82" s="396">
        <f>IFERROR(INDEX(EF!$C$79:$C$117,MATCH($C82,EF!$A$79:$A$117,0)),0)</f>
        <v>0</v>
      </c>
      <c r="K82" s="397">
        <f>IFERROR(INDEX(EF!$C$79:$C$117,MATCH($C82,EF!$A$79:$A$117,0)),0)</f>
        <v>0</v>
      </c>
      <c r="L82" s="397">
        <f>IFERROR(INDEX(EF!$C$79:$C$117,MATCH($C82,EF!$A$79:$A$117,0)),0)</f>
        <v>0</v>
      </c>
      <c r="M82" s="397">
        <f>IFERROR(INDEX(EF!$C$79:$C$117,MATCH($C82,EF!$A$79:$A$117,0)),0)</f>
        <v>0</v>
      </c>
      <c r="N82" s="445" t="s">
        <v>96</v>
      </c>
      <c r="O82" s="95"/>
      <c r="P82" s="383"/>
      <c r="Q82" s="383"/>
      <c r="S82" s="383"/>
      <c r="T82" s="383"/>
      <c r="U82" s="383"/>
      <c r="V82" s="383"/>
      <c r="W82" s="383"/>
      <c r="X82" s="383"/>
      <c r="Y82" s="383"/>
      <c r="Z82" s="383"/>
      <c r="AA82" s="383"/>
    </row>
    <row r="83" spans="2:27" ht="45" customHeight="1" x14ac:dyDescent="0.35">
      <c r="B83" s="383"/>
      <c r="C83" s="211" t="s">
        <v>93</v>
      </c>
      <c r="D83" s="478" t="s">
        <v>94</v>
      </c>
      <c r="E83" s="385" t="s">
        <v>95</v>
      </c>
      <c r="F83" s="232"/>
      <c r="G83" s="232"/>
      <c r="H83" s="232"/>
      <c r="I83" s="233"/>
      <c r="J83" s="396">
        <f>IFERROR(INDEX(EF!$C$79:$C$117,MATCH($C83,EF!$A$79:$A$117,0)),0)</f>
        <v>0</v>
      </c>
      <c r="K83" s="397">
        <f>IFERROR(INDEX(EF!$C$79:$C$117,MATCH($C83,EF!$A$79:$A$117,0)),0)</f>
        <v>0</v>
      </c>
      <c r="L83" s="397">
        <f>IFERROR(INDEX(EF!$C$79:$C$117,MATCH($C83,EF!$A$79:$A$117,0)),0)</f>
        <v>0</v>
      </c>
      <c r="M83" s="397">
        <f>IFERROR(INDEX(EF!$C$79:$C$117,MATCH($C83,EF!$A$79:$A$117,0)),0)</f>
        <v>0</v>
      </c>
      <c r="N83" s="445" t="s">
        <v>96</v>
      </c>
      <c r="O83" s="95"/>
      <c r="P83" s="383"/>
      <c r="Q83" s="383"/>
      <c r="S83" s="383"/>
      <c r="T83" s="383"/>
      <c r="U83" s="383"/>
      <c r="V83" s="383"/>
      <c r="W83" s="383"/>
      <c r="X83" s="383"/>
      <c r="Y83" s="383"/>
      <c r="Z83" s="383"/>
      <c r="AA83" s="383"/>
    </row>
    <row r="84" spans="2:27" ht="45" customHeight="1" x14ac:dyDescent="0.35">
      <c r="B84" s="383"/>
      <c r="C84" s="211" t="s">
        <v>93</v>
      </c>
      <c r="D84" s="478" t="s">
        <v>94</v>
      </c>
      <c r="E84" s="385" t="s">
        <v>95</v>
      </c>
      <c r="F84" s="232"/>
      <c r="G84" s="232"/>
      <c r="H84" s="232"/>
      <c r="I84" s="233"/>
      <c r="J84" s="396">
        <f>IFERROR(INDEX(EF!$C$79:$C$117,MATCH($C84,EF!$A$79:$A$117,0)),0)</f>
        <v>0</v>
      </c>
      <c r="K84" s="397">
        <f>IFERROR(INDEX(EF!$C$79:$C$117,MATCH($C84,EF!$A$79:$A$117,0)),0)</f>
        <v>0</v>
      </c>
      <c r="L84" s="397">
        <f>IFERROR(INDEX(EF!$C$79:$C$117,MATCH($C84,EF!$A$79:$A$117,0)),0)</f>
        <v>0</v>
      </c>
      <c r="M84" s="397">
        <f>IFERROR(INDEX(EF!$C$79:$C$117,MATCH($C84,EF!$A$79:$A$117,0)),0)</f>
        <v>0</v>
      </c>
      <c r="N84" s="445" t="s">
        <v>96</v>
      </c>
      <c r="O84" s="95"/>
      <c r="P84" s="383"/>
      <c r="Q84" s="383"/>
      <c r="S84" s="383"/>
      <c r="T84" s="383"/>
      <c r="U84" s="383"/>
      <c r="V84" s="383"/>
      <c r="W84" s="383"/>
      <c r="X84" s="383"/>
      <c r="Y84" s="383"/>
      <c r="Z84" s="383"/>
      <c r="AA84" s="383"/>
    </row>
    <row r="85" spans="2:27" ht="45" customHeight="1" x14ac:dyDescent="0.35">
      <c r="C85" s="869" t="s">
        <v>97</v>
      </c>
      <c r="D85" s="478" t="s">
        <v>98</v>
      </c>
      <c r="E85" s="385" t="s">
        <v>95</v>
      </c>
      <c r="F85" s="232"/>
      <c r="G85" s="232"/>
      <c r="H85" s="232"/>
      <c r="I85" s="233"/>
      <c r="J85" s="212" t="s">
        <v>145</v>
      </c>
      <c r="K85" s="402">
        <f>IF(ISNUMBER(J85),J85,0)</f>
        <v>0</v>
      </c>
      <c r="L85" s="402">
        <f t="shared" ref="L85:M87" si="7">K85</f>
        <v>0</v>
      </c>
      <c r="M85" s="402">
        <f t="shared" si="7"/>
        <v>0</v>
      </c>
      <c r="N85" s="445" t="s">
        <v>96</v>
      </c>
      <c r="O85" s="109"/>
      <c r="Q85" s="383"/>
      <c r="S85" s="383"/>
      <c r="T85" s="383"/>
      <c r="U85" s="383"/>
      <c r="V85" s="383"/>
      <c r="W85" s="383"/>
      <c r="X85" s="383"/>
      <c r="Y85" s="383"/>
      <c r="Z85" s="383"/>
      <c r="AA85" s="383"/>
    </row>
    <row r="86" spans="2:27" ht="45" customHeight="1" x14ac:dyDescent="0.35">
      <c r="C86" s="869" t="s">
        <v>97</v>
      </c>
      <c r="D86" s="478" t="s">
        <v>98</v>
      </c>
      <c r="E86" s="385" t="s">
        <v>95</v>
      </c>
      <c r="F86" s="232"/>
      <c r="G86" s="232"/>
      <c r="H86" s="232"/>
      <c r="I86" s="233"/>
      <c r="J86" s="212" t="s">
        <v>145</v>
      </c>
      <c r="K86" s="402">
        <f t="shared" ref="K86:K87" si="8">IF(ISNUMBER(J86),J86,0)</f>
        <v>0</v>
      </c>
      <c r="L86" s="402">
        <f t="shared" si="7"/>
        <v>0</v>
      </c>
      <c r="M86" s="402">
        <f t="shared" si="7"/>
        <v>0</v>
      </c>
      <c r="N86" s="445" t="s">
        <v>96</v>
      </c>
      <c r="O86" s="109" t="s">
        <v>99</v>
      </c>
      <c r="Q86" s="383"/>
      <c r="S86" s="383"/>
      <c r="T86" s="383"/>
      <c r="U86" s="383"/>
      <c r="V86" s="383"/>
      <c r="W86" s="383"/>
      <c r="X86" s="383"/>
      <c r="Y86" s="383"/>
      <c r="Z86" s="383"/>
      <c r="AA86" s="383"/>
    </row>
    <row r="87" spans="2:27" ht="45" customHeight="1" thickBot="1" x14ac:dyDescent="0.4">
      <c r="B87" s="383"/>
      <c r="C87" s="870" t="s">
        <v>97</v>
      </c>
      <c r="D87" s="482" t="s">
        <v>98</v>
      </c>
      <c r="E87" s="380" t="s">
        <v>95</v>
      </c>
      <c r="F87" s="236"/>
      <c r="G87" s="236"/>
      <c r="H87" s="236"/>
      <c r="I87" s="237"/>
      <c r="J87" s="213" t="s">
        <v>145</v>
      </c>
      <c r="K87" s="521">
        <f t="shared" si="8"/>
        <v>0</v>
      </c>
      <c r="L87" s="521">
        <f t="shared" si="7"/>
        <v>0</v>
      </c>
      <c r="M87" s="521">
        <f t="shared" si="7"/>
        <v>0</v>
      </c>
      <c r="N87" s="433" t="s">
        <v>96</v>
      </c>
      <c r="O87" s="110" t="s">
        <v>99</v>
      </c>
      <c r="P87" s="383"/>
      <c r="Q87" s="383"/>
      <c r="S87" s="383"/>
      <c r="T87" s="383"/>
      <c r="U87" s="383"/>
      <c r="V87" s="383"/>
      <c r="W87" s="383"/>
      <c r="X87" s="383"/>
      <c r="Y87" s="383"/>
      <c r="Z87" s="383"/>
      <c r="AA87" s="383"/>
    </row>
    <row r="88" spans="2:27" ht="45" customHeight="1" x14ac:dyDescent="0.35">
      <c r="Q88" s="481"/>
      <c r="S88" s="383"/>
      <c r="T88" s="383"/>
      <c r="U88" s="383"/>
      <c r="V88" s="383"/>
      <c r="W88" s="383"/>
      <c r="X88" s="383"/>
      <c r="Y88" s="383"/>
      <c r="Z88" s="383"/>
      <c r="AA88" s="383"/>
    </row>
    <row r="89" spans="2:27" ht="45" customHeight="1" thickBot="1" x14ac:dyDescent="0.4">
      <c r="S89" s="383"/>
      <c r="T89" s="383"/>
      <c r="U89" s="383"/>
      <c r="V89" s="383"/>
      <c r="W89" s="383"/>
      <c r="X89" s="383"/>
      <c r="Y89" s="383"/>
      <c r="Z89" s="383"/>
      <c r="AA89" s="383"/>
    </row>
    <row r="90" spans="2:27" ht="45" customHeight="1" thickBot="1" x14ac:dyDescent="0.55000000000000004">
      <c r="C90" s="362" t="s">
        <v>1201</v>
      </c>
      <c r="D90" s="363"/>
      <c r="E90" s="364"/>
      <c r="F90" s="364"/>
      <c r="G90" s="364"/>
      <c r="H90" s="364"/>
      <c r="I90" s="364"/>
      <c r="J90" s="364"/>
      <c r="K90" s="364"/>
      <c r="L90" s="365"/>
      <c r="M90" s="365"/>
      <c r="N90" s="121"/>
      <c r="O90" s="366" t="s">
        <v>1446</v>
      </c>
      <c r="R90" s="383"/>
      <c r="S90" s="383"/>
      <c r="T90" s="383"/>
      <c r="U90" s="383"/>
      <c r="V90" s="383"/>
      <c r="W90" s="383"/>
      <c r="X90" s="383"/>
      <c r="Y90" s="383"/>
      <c r="Z90" s="383"/>
      <c r="AA90" s="383"/>
    </row>
    <row r="91" spans="2:27" ht="45" customHeight="1" x14ac:dyDescent="0.35">
      <c r="C91" s="902" t="s">
        <v>100</v>
      </c>
      <c r="D91" s="903"/>
      <c r="E91" s="904"/>
      <c r="F91" s="367" t="s">
        <v>32</v>
      </c>
      <c r="G91" s="936" t="s">
        <v>33</v>
      </c>
      <c r="H91" s="937"/>
      <c r="I91" s="938"/>
      <c r="J91" s="908" t="s">
        <v>34</v>
      </c>
      <c r="K91" s="909"/>
      <c r="L91" s="909"/>
      <c r="M91" s="909"/>
      <c r="N91" s="910"/>
      <c r="O91" s="484" t="s">
        <v>36</v>
      </c>
      <c r="R91" s="383"/>
      <c r="S91" s="383"/>
      <c r="T91" s="383"/>
      <c r="U91" s="383"/>
      <c r="V91" s="383"/>
      <c r="W91" s="383"/>
      <c r="X91" s="383"/>
      <c r="Y91" s="383"/>
      <c r="Z91" s="383"/>
      <c r="AA91" s="383"/>
    </row>
    <row r="92" spans="2:27" ht="45" customHeight="1" x14ac:dyDescent="0.35">
      <c r="C92" s="905" t="s">
        <v>1357</v>
      </c>
      <c r="D92" s="906"/>
      <c r="E92" s="907"/>
      <c r="F92" s="425">
        <v>2023</v>
      </c>
      <c r="G92" s="425">
        <v>2025</v>
      </c>
      <c r="H92" s="425">
        <f t="shared" ref="H92:I92" si="9">G92+5</f>
        <v>2030</v>
      </c>
      <c r="I92" s="426">
        <f t="shared" si="9"/>
        <v>2035</v>
      </c>
      <c r="J92" s="374">
        <v>2023</v>
      </c>
      <c r="K92" s="375">
        <v>2025</v>
      </c>
      <c r="L92" s="375">
        <v>2030</v>
      </c>
      <c r="M92" s="375">
        <v>2035</v>
      </c>
      <c r="N92" s="376" t="s">
        <v>35</v>
      </c>
      <c r="O92" s="440"/>
      <c r="R92" s="383"/>
      <c r="S92" s="383"/>
      <c r="T92" s="383"/>
      <c r="U92" s="383"/>
      <c r="V92" s="383"/>
      <c r="W92" s="383"/>
      <c r="X92" s="383"/>
      <c r="Y92" s="383"/>
      <c r="Z92" s="383"/>
      <c r="AA92" s="383"/>
    </row>
    <row r="93" spans="2:27" ht="45" customHeight="1" x14ac:dyDescent="0.35">
      <c r="C93" s="384" t="s">
        <v>101</v>
      </c>
      <c r="D93" s="385" t="s">
        <v>1157</v>
      </c>
      <c r="E93" s="385" t="s">
        <v>39</v>
      </c>
      <c r="F93" s="226">
        <f>SUM(F94:F100)</f>
        <v>0</v>
      </c>
      <c r="G93" s="226">
        <f t="shared" ref="G93:I93" si="10">SUM(G94:G100)</f>
        <v>0</v>
      </c>
      <c r="H93" s="226">
        <f t="shared" si="10"/>
        <v>0</v>
      </c>
      <c r="I93" s="226">
        <f t="shared" si="10"/>
        <v>0</v>
      </c>
      <c r="J93" s="919" t="s">
        <v>1358</v>
      </c>
      <c r="K93" s="920"/>
      <c r="L93" s="920"/>
      <c r="M93" s="920"/>
      <c r="N93" s="921"/>
      <c r="O93" s="104"/>
      <c r="R93" s="383"/>
      <c r="S93" s="453"/>
      <c r="T93" s="453"/>
      <c r="U93" s="453"/>
      <c r="V93" s="453"/>
      <c r="W93" s="453"/>
      <c r="X93" s="453"/>
      <c r="Y93" s="383"/>
      <c r="Z93" s="383"/>
    </row>
    <row r="94" spans="2:27" ht="45" customHeight="1" x14ac:dyDescent="0.35">
      <c r="C94" s="399" t="s">
        <v>44</v>
      </c>
      <c r="D94" s="385" t="s">
        <v>102</v>
      </c>
      <c r="E94" s="385" t="s">
        <v>39</v>
      </c>
      <c r="F94" s="227">
        <f>F33</f>
        <v>0</v>
      </c>
      <c r="G94" s="227">
        <f>G33</f>
        <v>0</v>
      </c>
      <c r="H94" s="227">
        <f>H33</f>
        <v>0</v>
      </c>
      <c r="I94" s="228">
        <f>I33</f>
        <v>0</v>
      </c>
      <c r="J94" s="485">
        <f>IFERROR(INDEX(EF!$D$40:$D$49,MATCH("Naturgas",EF!$A$40:$A$49,0)),"")</f>
        <v>2.3780570454545454E-2</v>
      </c>
      <c r="K94" s="391">
        <f>IFERROR(INDEX(EF!$F$40:$F$49,MATCH("Naturgas",EF!$A$40:$A$49,0)),"")</f>
        <v>2.2506628787878791E-2</v>
      </c>
      <c r="L94" s="391">
        <f>IFERROR(INDEX(EF!$H$40:$H$49,MATCH("Naturgas",EF!$A$40:$A$49,0)),"")</f>
        <v>1.6715984848484852E-2</v>
      </c>
      <c r="M94" s="391">
        <f>IFERROR(INDEX(EF!$J$40:$J$49,MATCH("Naturgas",EF!$A$40:$A$49,0)),"")</f>
        <v>1.6715984848484852E-2</v>
      </c>
      <c r="N94" s="445" t="s">
        <v>42</v>
      </c>
      <c r="O94" s="111"/>
      <c r="R94" s="383"/>
      <c r="S94" s="383"/>
      <c r="T94" s="383"/>
      <c r="U94" s="383"/>
      <c r="V94" s="383"/>
      <c r="W94" s="383"/>
      <c r="X94" s="383"/>
      <c r="Y94" s="383"/>
      <c r="Z94" s="383"/>
      <c r="AA94" s="383"/>
    </row>
    <row r="95" spans="2:27" ht="45" customHeight="1" x14ac:dyDescent="0.35">
      <c r="C95" s="399" t="s">
        <v>49</v>
      </c>
      <c r="D95" s="385" t="s">
        <v>102</v>
      </c>
      <c r="E95" s="385" t="s">
        <v>39</v>
      </c>
      <c r="F95" s="227">
        <f t="shared" ref="F95:I97" si="11">F35</f>
        <v>0</v>
      </c>
      <c r="G95" s="227">
        <f t="shared" si="11"/>
        <v>0</v>
      </c>
      <c r="H95" s="227">
        <f t="shared" si="11"/>
        <v>0</v>
      </c>
      <c r="I95" s="228">
        <f t="shared" si="11"/>
        <v>0</v>
      </c>
      <c r="J95" s="485">
        <f>IFERROR(INDEX(EF!$D$40:$D$49,MATCH("Fyringsolie (gasolie)",EF!$A$40:$A$49,0)),"")</f>
        <v>6.2044554455445551E-2</v>
      </c>
      <c r="K95" s="391">
        <f>IFERROR(INDEX(EF!$F$40:$F$49,MATCH("Fyringsolie (gasolie)",EF!$A$40:$A$49,0)),"")</f>
        <v>6.2079207920792079E-2</v>
      </c>
      <c r="L95" s="391">
        <f>IFERROR(INDEX(EF!$H$40:$H$49,MATCH("Fyringsolie (gasolie)",EF!$A$40:$A$49,0)),"")</f>
        <v>6.2079207920792079E-2</v>
      </c>
      <c r="M95" s="391">
        <f>IFERROR(INDEX(EF!$J$40:$J$49,MATCH("Fyringsolie (gasolie)",EF!$A$40:$A$49,0)),"")</f>
        <v>6.2079207920792079E-2</v>
      </c>
      <c r="N95" s="445" t="s">
        <v>42</v>
      </c>
      <c r="O95" s="111"/>
      <c r="R95" s="383"/>
    </row>
    <row r="96" spans="2:27" ht="45" customHeight="1" x14ac:dyDescent="0.35">
      <c r="C96" s="399" t="str">
        <f>C36</f>
        <v>Købt fuelolie</v>
      </c>
      <c r="D96" s="385" t="s">
        <v>103</v>
      </c>
      <c r="E96" s="385" t="s">
        <v>39</v>
      </c>
      <c r="F96" s="227">
        <f t="shared" si="11"/>
        <v>0</v>
      </c>
      <c r="G96" s="227">
        <f t="shared" si="11"/>
        <v>0</v>
      </c>
      <c r="H96" s="227">
        <f t="shared" si="11"/>
        <v>0</v>
      </c>
      <c r="I96" s="228">
        <f t="shared" si="11"/>
        <v>0</v>
      </c>
      <c r="J96" s="522">
        <f>IFERROR(INDEX(EF!$D$40:$D$49,MATCH("Fuelolie",EF!$A$40:$A$49,0)),0)</f>
        <v>6.2647747747747742E-2</v>
      </c>
      <c r="K96" s="397">
        <f>IFERROR(INDEX(EF!$F$40:$F$49,MATCH("Fuelolie",EF!$A$40:$A$49,0)),0)</f>
        <v>6.2612612612612611E-2</v>
      </c>
      <c r="L96" s="397">
        <f>IFERROR(INDEX(EF!$H$40:$H$49,MATCH("Fuelolie",EF!$A$40:$A$49,0)),0)</f>
        <v>6.2612612612612611E-2</v>
      </c>
      <c r="M96" s="397">
        <f>IFERROR(INDEX(EF!$J$40:$J$49,MATCH("Fuelolie",EF!$A$40:$A$49,0)),0)</f>
        <v>6.2612612612612611E-2</v>
      </c>
      <c r="N96" s="445" t="s">
        <v>42</v>
      </c>
      <c r="O96" s="111"/>
      <c r="R96" s="383"/>
    </row>
    <row r="97" spans="2:27" ht="45" customHeight="1" x14ac:dyDescent="0.35">
      <c r="B97" s="383"/>
      <c r="C97" s="487" t="s">
        <v>52</v>
      </c>
      <c r="D97" s="385" t="s">
        <v>102</v>
      </c>
      <c r="E97" s="385" t="s">
        <v>39</v>
      </c>
      <c r="F97" s="227">
        <f t="shared" si="11"/>
        <v>0</v>
      </c>
      <c r="G97" s="227">
        <f t="shared" si="11"/>
        <v>0</v>
      </c>
      <c r="H97" s="227">
        <f t="shared" si="11"/>
        <v>0</v>
      </c>
      <c r="I97" s="228">
        <f t="shared" si="11"/>
        <v>0</v>
      </c>
      <c r="J97" s="251" t="s">
        <v>104</v>
      </c>
      <c r="K97" s="397">
        <f>IF(ISNUMBER(J97),J97,0)</f>
        <v>0</v>
      </c>
      <c r="L97" s="397">
        <f t="shared" ref="L97:M97" si="12">IF(ISNUMBER(K97),K97,"")</f>
        <v>0</v>
      </c>
      <c r="M97" s="397">
        <f t="shared" si="12"/>
        <v>0</v>
      </c>
      <c r="N97" s="445" t="s">
        <v>42</v>
      </c>
      <c r="O97" s="111"/>
      <c r="R97" s="383"/>
    </row>
    <row r="98" spans="2:27" ht="45" customHeight="1" x14ac:dyDescent="0.35">
      <c r="C98" s="487" t="s">
        <v>58</v>
      </c>
      <c r="D98" s="385" t="s">
        <v>102</v>
      </c>
      <c r="E98" s="385" t="s">
        <v>39</v>
      </c>
      <c r="F98" s="227">
        <f t="shared" ref="F98:I100" si="13">F39</f>
        <v>0</v>
      </c>
      <c r="G98" s="227">
        <f t="shared" si="13"/>
        <v>0</v>
      </c>
      <c r="H98" s="227">
        <f t="shared" si="13"/>
        <v>0</v>
      </c>
      <c r="I98" s="228">
        <f t="shared" si="13"/>
        <v>0</v>
      </c>
      <c r="J98" s="485">
        <f>IFERROR(INDEX(EF!$D$40:$D$49,MATCH("Træpiller",EF!$A$40:$A$49,0)),"")</f>
        <v>3.6419753086419752E-2</v>
      </c>
      <c r="K98" s="391">
        <f>IFERROR(INDEX(EF!$F$40:$F$49,MATCH("Træpiller",EF!$A$40:$A$49,0)),"")</f>
        <v>3.6419753086419752E-2</v>
      </c>
      <c r="L98" s="391">
        <f>IFERROR(INDEX(EF!$H$40:$H$49,MATCH("Træpiller",EF!$A$40:$A$49,0)),"")</f>
        <v>3.6419753086419752E-2</v>
      </c>
      <c r="M98" s="391">
        <f>IFERROR(INDEX(EF!$J$40:$J$49,MATCH("Træpiller",EF!$A$40:$A$49,0)),"")</f>
        <v>3.6419753086419752E-2</v>
      </c>
      <c r="N98" s="445" t="s">
        <v>42</v>
      </c>
      <c r="O98" s="111"/>
      <c r="R98" s="383"/>
    </row>
    <row r="99" spans="2:27" ht="45" customHeight="1" x14ac:dyDescent="0.35">
      <c r="C99" s="487" t="s">
        <v>61</v>
      </c>
      <c r="D99" s="385" t="s">
        <v>102</v>
      </c>
      <c r="E99" s="385" t="s">
        <v>39</v>
      </c>
      <c r="F99" s="227">
        <f t="shared" si="13"/>
        <v>0</v>
      </c>
      <c r="G99" s="227">
        <f t="shared" si="13"/>
        <v>0</v>
      </c>
      <c r="H99" s="227">
        <f t="shared" si="13"/>
        <v>0</v>
      </c>
      <c r="I99" s="228">
        <f t="shared" si="13"/>
        <v>0</v>
      </c>
      <c r="J99" s="485">
        <f>IFERROR(INDEX(EF!$D$40:$D$49,MATCH("Træflis",EF!$A$40:$A$49,0)),"")</f>
        <v>1.0519031141868512E-2</v>
      </c>
      <c r="K99" s="391">
        <f>IFERROR(INDEX(EF!$F$40:$F$49,MATCH("Træflis",EF!$A$40:$A$49,0)),"")</f>
        <v>1.0519031141868512E-2</v>
      </c>
      <c r="L99" s="391">
        <f>IFERROR(INDEX(EF!$H$40:$H$49,MATCH("Træflis",EF!$A$40:$A$49,0)),"")</f>
        <v>1.0519031141868512E-2</v>
      </c>
      <c r="M99" s="391">
        <f>IFERROR(INDEX(EF!$J$40:$J$49,MATCH("Træflis",EF!$A$40:$A$49,0)),"")</f>
        <v>1.0519031141868512E-2</v>
      </c>
      <c r="N99" s="445" t="s">
        <v>42</v>
      </c>
      <c r="O99" s="111"/>
      <c r="R99" s="383"/>
    </row>
    <row r="100" spans="2:27" ht="45" customHeight="1" x14ac:dyDescent="0.35">
      <c r="C100" s="487" t="s">
        <v>64</v>
      </c>
      <c r="D100" s="385" t="s">
        <v>102</v>
      </c>
      <c r="E100" s="385" t="s">
        <v>39</v>
      </c>
      <c r="F100" s="227">
        <f t="shared" si="13"/>
        <v>0</v>
      </c>
      <c r="G100" s="227">
        <f t="shared" si="13"/>
        <v>0</v>
      </c>
      <c r="H100" s="227">
        <f t="shared" si="13"/>
        <v>0</v>
      </c>
      <c r="I100" s="228">
        <f t="shared" si="13"/>
        <v>0</v>
      </c>
      <c r="J100" s="485">
        <f>IFERROR(INDEX(EF!$D$40:$D$49,MATCH("Halm",EF!$A$40:$A$49,0)),"")</f>
        <v>1.7034739454094294E-2</v>
      </c>
      <c r="K100" s="391">
        <f>IFERROR(INDEX(EF!$F$40:$F$49,MATCH("halm",EF!$A$40:$A$49,0)),"")</f>
        <v>1.7047146401985111E-2</v>
      </c>
      <c r="L100" s="391">
        <f>IFERROR(INDEX(EF!$H$40:$H$49,MATCH("halm",EF!$A$40:$A$49,0)),"")</f>
        <v>1.7047146401985111E-2</v>
      </c>
      <c r="M100" s="391">
        <f>IFERROR(INDEX(EF!$J$40:$J$49,MATCH("Halm",EF!$A$40:$A$49,0)),"")</f>
        <v>1.7047146401985111E-2</v>
      </c>
      <c r="N100" s="445" t="s">
        <v>42</v>
      </c>
      <c r="O100" s="111"/>
      <c r="R100" s="383"/>
    </row>
    <row r="101" spans="2:27" ht="45" customHeight="1" x14ac:dyDescent="0.35">
      <c r="C101" s="488" t="s">
        <v>105</v>
      </c>
      <c r="D101" s="385" t="s">
        <v>1158</v>
      </c>
      <c r="E101" s="385" t="s">
        <v>81</v>
      </c>
      <c r="F101" s="227">
        <f>SUM(F102:F103)</f>
        <v>0</v>
      </c>
      <c r="G101" s="227">
        <f t="shared" ref="G101:I101" si="14">SUM(G102:G103)</f>
        <v>0</v>
      </c>
      <c r="H101" s="227">
        <f t="shared" si="14"/>
        <v>0</v>
      </c>
      <c r="I101" s="227">
        <f t="shared" si="14"/>
        <v>0</v>
      </c>
      <c r="J101" s="919" t="s">
        <v>1358</v>
      </c>
      <c r="K101" s="920"/>
      <c r="L101" s="920"/>
      <c r="M101" s="920"/>
      <c r="N101" s="921"/>
      <c r="O101" s="111"/>
      <c r="R101" s="383"/>
      <c r="S101" s="123"/>
      <c r="T101" s="123"/>
      <c r="U101" s="123"/>
      <c r="V101" s="123"/>
      <c r="W101" s="126"/>
      <c r="X101" s="383"/>
      <c r="Y101" s="413"/>
      <c r="Z101" s="413"/>
      <c r="AA101" s="413"/>
    </row>
    <row r="102" spans="2:27" ht="45" customHeight="1" x14ac:dyDescent="0.35">
      <c r="C102" s="489" t="s">
        <v>79</v>
      </c>
      <c r="D102" s="385" t="s">
        <v>102</v>
      </c>
      <c r="E102" s="385" t="s">
        <v>81</v>
      </c>
      <c r="F102" s="227">
        <f t="shared" ref="F102:I103" si="15">F47</f>
        <v>0</v>
      </c>
      <c r="G102" s="227">
        <f t="shared" si="15"/>
        <v>0</v>
      </c>
      <c r="H102" s="227">
        <f t="shared" si="15"/>
        <v>0</v>
      </c>
      <c r="I102" s="228">
        <f t="shared" si="15"/>
        <v>0</v>
      </c>
      <c r="J102" s="490">
        <f>IFERROR(INDEX(EF!$D$24:$D$33,MATCH("Diesel",EF!A$24:$A$33,0)),"")</f>
        <v>0.62409000000000003</v>
      </c>
      <c r="K102" s="391">
        <f>IFERROR(INDEX(EF!$F$24:$F$33,MATCH("Diesel",EF!$A$24:$A$33,0)),"")</f>
        <v>0.62409000000000003</v>
      </c>
      <c r="L102" s="391">
        <f>IFERROR(INDEX(EF!$H$24:$H$33,MATCH("Diesel",EF!$A$24:$A$33,0)),"")</f>
        <v>0.62409000000000003</v>
      </c>
      <c r="M102" s="391">
        <f>IFERROR(INDEX(EF!$J$24:$J$33,MATCH("Diesel",EF!$A$24:$A$33,0)),"")</f>
        <v>0.62409000000000003</v>
      </c>
      <c r="N102" s="445" t="s">
        <v>42</v>
      </c>
      <c r="O102" s="111"/>
      <c r="R102" s="453"/>
      <c r="S102" s="123"/>
      <c r="T102" s="123"/>
      <c r="U102" s="123"/>
      <c r="V102" s="123"/>
      <c r="W102" s="126"/>
      <c r="X102" s="383"/>
      <c r="Y102" s="413"/>
      <c r="Z102" s="413"/>
      <c r="AA102" s="413"/>
    </row>
    <row r="103" spans="2:27" ht="45" customHeight="1" thickBot="1" x14ac:dyDescent="0.4">
      <c r="C103" s="491" t="s">
        <v>84</v>
      </c>
      <c r="D103" s="385" t="s">
        <v>102</v>
      </c>
      <c r="E103" s="385" t="s">
        <v>81</v>
      </c>
      <c r="F103" s="227">
        <f t="shared" si="15"/>
        <v>0</v>
      </c>
      <c r="G103" s="227">
        <f t="shared" si="15"/>
        <v>0</v>
      </c>
      <c r="H103" s="227">
        <f t="shared" si="15"/>
        <v>0</v>
      </c>
      <c r="I103" s="228">
        <f t="shared" si="15"/>
        <v>0</v>
      </c>
      <c r="J103" s="490">
        <f>IFERROR(INDEX(EF!$D$24:$D$33,MATCH("Benzin",EF!A$24:$A$33,0)),"")</f>
        <v>0.60663999999999996</v>
      </c>
      <c r="K103" s="391">
        <f>IFERROR(INDEX(EF!$F$24:$F$33,MATCH("Benzin",EF!$A$24:$A$33,0)),"")</f>
        <v>0.60663999999999996</v>
      </c>
      <c r="L103" s="391">
        <f>IFERROR(INDEX(EF!$H$24:$H$33,MATCH("Benzin",EF!$A$24:$A$33,0)),"")</f>
        <v>0.60663999999999996</v>
      </c>
      <c r="M103" s="391">
        <f>IFERROR(INDEX(EF!$J$24:$J$33,MATCH("Benzin",EF!$A$24:$A$33,0)),"")</f>
        <v>0.60663999999999996</v>
      </c>
      <c r="N103" s="445" t="s">
        <v>42</v>
      </c>
      <c r="O103" s="111"/>
      <c r="R103" s="383"/>
      <c r="S103" s="123"/>
      <c r="T103" s="123"/>
      <c r="U103" s="123"/>
      <c r="V103" s="123"/>
      <c r="W103" s="126"/>
      <c r="X103" s="383"/>
      <c r="Y103" s="413"/>
      <c r="Z103" s="413"/>
      <c r="AA103" s="413"/>
    </row>
    <row r="104" spans="2:27" ht="45" customHeight="1" x14ac:dyDescent="0.35">
      <c r="C104" s="384" t="s">
        <v>40</v>
      </c>
      <c r="D104" s="385" t="s">
        <v>106</v>
      </c>
      <c r="E104" s="385" t="s">
        <v>39</v>
      </c>
      <c r="F104" s="227">
        <f>F32</f>
        <v>0</v>
      </c>
      <c r="G104" s="227">
        <f>G32</f>
        <v>0</v>
      </c>
      <c r="H104" s="227">
        <f>H32</f>
        <v>0</v>
      </c>
      <c r="I104" s="228">
        <f>I32</f>
        <v>0</v>
      </c>
      <c r="J104" s="490">
        <f>J56*0.25</f>
        <v>1.1967016354500596E-2</v>
      </c>
      <c r="K104" s="391">
        <f>K56*0.25</f>
        <v>9.2392910906094316E-3</v>
      </c>
      <c r="L104" s="391">
        <f>L56*0.25</f>
        <v>4.7235525124099242E-3</v>
      </c>
      <c r="M104" s="391">
        <f>M56*0.25</f>
        <v>2.9349081850544405E-3</v>
      </c>
      <c r="N104" s="445" t="s">
        <v>42</v>
      </c>
      <c r="O104" s="111"/>
      <c r="S104" s="123"/>
      <c r="T104" s="123"/>
      <c r="U104" s="123"/>
      <c r="V104" s="123"/>
      <c r="W104" s="126"/>
      <c r="X104" s="383"/>
      <c r="Y104" s="413"/>
      <c r="Z104" s="413"/>
      <c r="AA104" s="413"/>
    </row>
    <row r="105" spans="2:27" ht="45" customHeight="1" thickBot="1" x14ac:dyDescent="0.4">
      <c r="C105" s="492" t="s">
        <v>87</v>
      </c>
      <c r="D105" s="380" t="s">
        <v>106</v>
      </c>
      <c r="E105" s="380" t="s">
        <v>39</v>
      </c>
      <c r="F105" s="230">
        <f>F62</f>
        <v>0</v>
      </c>
      <c r="G105" s="230">
        <f>G62</f>
        <v>0</v>
      </c>
      <c r="H105" s="230">
        <f>H62</f>
        <v>0</v>
      </c>
      <c r="I105" s="231">
        <f>I62</f>
        <v>0</v>
      </c>
      <c r="J105" s="493">
        <f>IF($D$61="DK øst",EF!D54,EF!D55)</f>
        <v>5.8930000000000003E-2</v>
      </c>
      <c r="K105" s="465">
        <f>IF($D$61="DK øst",EF!F54,EF!F55)</f>
        <v>5.781E-2</v>
      </c>
      <c r="L105" s="465">
        <f>IF($D$61="DK øst",EF!H54,EF!H55)</f>
        <v>5.7020000000000001E-2</v>
      </c>
      <c r="M105" s="465">
        <f>IF($D$61="DK øst",EF!J54,EF!J55)</f>
        <v>5.6919999999999998E-2</v>
      </c>
      <c r="N105" s="433" t="s">
        <v>42</v>
      </c>
      <c r="O105" s="112"/>
      <c r="S105" s="123"/>
      <c r="T105" s="123"/>
      <c r="U105" s="123"/>
      <c r="V105" s="123"/>
      <c r="W105" s="126"/>
      <c r="X105" s="383"/>
      <c r="Y105" s="413"/>
      <c r="Z105" s="413"/>
      <c r="AA105" s="413"/>
    </row>
    <row r="106" spans="2:27" ht="45" customHeight="1" x14ac:dyDescent="0.35">
      <c r="O106" s="120"/>
      <c r="S106" s="123"/>
      <c r="T106" s="123"/>
      <c r="U106" s="123"/>
      <c r="V106" s="123"/>
      <c r="W106" s="126"/>
      <c r="X106" s="383"/>
      <c r="Y106" s="413"/>
      <c r="Z106" s="413"/>
      <c r="AA106" s="413"/>
    </row>
    <row r="107" spans="2:27" ht="45" customHeight="1" x14ac:dyDescent="0.35">
      <c r="B107" s="383"/>
      <c r="C107" s="383"/>
      <c r="D107" s="383"/>
      <c r="E107" s="383"/>
      <c r="F107" s="383"/>
      <c r="G107" s="383"/>
      <c r="H107" s="383"/>
      <c r="I107" s="383"/>
      <c r="J107" s="383"/>
      <c r="K107" s="383"/>
      <c r="L107" s="383"/>
      <c r="M107" s="383"/>
      <c r="O107" s="389"/>
      <c r="P107" s="383"/>
      <c r="Q107" s="383"/>
      <c r="S107" s="383"/>
      <c r="T107" s="383"/>
      <c r="U107" s="383"/>
      <c r="V107" s="383"/>
      <c r="W107" s="383"/>
      <c r="X107" s="383"/>
      <c r="Y107" s="383"/>
      <c r="Z107" s="383"/>
      <c r="AA107" s="383"/>
    </row>
    <row r="108" spans="2:27" ht="45" customHeight="1" x14ac:dyDescent="0.5">
      <c r="B108" s="450" t="s">
        <v>1438</v>
      </c>
      <c r="C108" s="476"/>
      <c r="D108" s="476"/>
      <c r="E108" s="476"/>
      <c r="F108" s="476"/>
      <c r="G108" s="476"/>
      <c r="H108" s="476"/>
      <c r="I108" s="476"/>
      <c r="J108" s="476"/>
      <c r="K108" s="476"/>
      <c r="L108" s="476"/>
      <c r="M108" s="476"/>
      <c r="N108" s="476"/>
      <c r="O108" s="477"/>
      <c r="P108" s="476"/>
      <c r="Q108" s="453"/>
      <c r="S108" s="383"/>
      <c r="T108" s="383"/>
      <c r="U108" s="383"/>
      <c r="V108" s="383"/>
      <c r="W108" s="383"/>
      <c r="X108" s="383"/>
      <c r="Y108" s="383"/>
      <c r="Z108" s="383"/>
      <c r="AA108" s="383"/>
    </row>
    <row r="109" spans="2:27" ht="45" customHeight="1" thickBot="1" x14ac:dyDescent="0.4">
      <c r="B109" s="383"/>
      <c r="C109" s="383"/>
      <c r="D109" s="383"/>
      <c r="E109" s="383"/>
      <c r="F109" s="383"/>
      <c r="G109" s="383"/>
      <c r="H109" s="383"/>
      <c r="I109" s="383"/>
      <c r="J109" s="383"/>
      <c r="K109" s="383"/>
      <c r="L109" s="383"/>
      <c r="M109" s="383"/>
      <c r="O109" s="389"/>
      <c r="P109" s="383"/>
      <c r="Q109" s="383"/>
    </row>
    <row r="110" spans="2:27" ht="45" customHeight="1" thickBot="1" x14ac:dyDescent="0.55000000000000004">
      <c r="B110" s="383"/>
      <c r="C110" s="362" t="s">
        <v>115</v>
      </c>
      <c r="D110" s="363"/>
      <c r="E110" s="364"/>
      <c r="F110" s="364"/>
      <c r="G110" s="364"/>
      <c r="H110" s="364"/>
      <c r="I110" s="364"/>
      <c r="J110" s="364"/>
      <c r="K110" s="364"/>
      <c r="L110" s="365"/>
      <c r="M110" s="365"/>
      <c r="N110" s="419"/>
      <c r="O110" s="366" t="s">
        <v>1447</v>
      </c>
      <c r="P110" s="383"/>
      <c r="R110" s="383"/>
    </row>
    <row r="111" spans="2:27" ht="45" customHeight="1" x14ac:dyDescent="0.35">
      <c r="B111" s="383"/>
      <c r="C111" s="902" t="s">
        <v>1179</v>
      </c>
      <c r="D111" s="903"/>
      <c r="E111" s="904"/>
      <c r="F111" s="420" t="s">
        <v>32</v>
      </c>
      <c r="G111" s="368"/>
      <c r="H111" s="422" t="s">
        <v>33</v>
      </c>
      <c r="I111" s="519"/>
      <c r="J111" s="908" t="s">
        <v>34</v>
      </c>
      <c r="K111" s="909"/>
      <c r="L111" s="909"/>
      <c r="M111" s="909"/>
      <c r="N111" s="910"/>
      <c r="O111" s="438" t="s">
        <v>36</v>
      </c>
      <c r="P111" s="383"/>
      <c r="R111" s="383"/>
    </row>
    <row r="112" spans="2:27" ht="45" customHeight="1" x14ac:dyDescent="0.35">
      <c r="B112" s="383"/>
      <c r="C112" s="905" t="s">
        <v>1175</v>
      </c>
      <c r="D112" s="906"/>
      <c r="E112" s="907"/>
      <c r="F112" s="425">
        <v>2023</v>
      </c>
      <c r="G112" s="425">
        <v>2025</v>
      </c>
      <c r="H112" s="425">
        <f t="shared" ref="H112:I112" si="16">G112+5</f>
        <v>2030</v>
      </c>
      <c r="I112" s="520">
        <f t="shared" si="16"/>
        <v>2035</v>
      </c>
      <c r="J112" s="374">
        <v>2023</v>
      </c>
      <c r="K112" s="375">
        <v>2025</v>
      </c>
      <c r="L112" s="375">
        <v>2030</v>
      </c>
      <c r="M112" s="375">
        <v>2035</v>
      </c>
      <c r="N112" s="376" t="s">
        <v>35</v>
      </c>
      <c r="O112" s="440"/>
      <c r="P112" s="383"/>
      <c r="R112" s="383"/>
    </row>
    <row r="113" spans="1:27" ht="45" customHeight="1" x14ac:dyDescent="0.35">
      <c r="B113" s="729" t="str">
        <f>IF(AND(ISNUMBER(J113),J113&gt;0),"OBS! Husk negativt fortegn ved EF","")</f>
        <v/>
      </c>
      <c r="C113" s="431" t="s">
        <v>119</v>
      </c>
      <c r="D113" s="428" t="s">
        <v>1363</v>
      </c>
      <c r="E113" s="429" t="s">
        <v>117</v>
      </c>
      <c r="F113" s="86"/>
      <c r="G113" s="86"/>
      <c r="H113" s="86"/>
      <c r="I113" s="87"/>
      <c r="J113" s="212" t="s">
        <v>145</v>
      </c>
      <c r="K113" s="510">
        <f>IF(ISNUMBER(J113),J113,0)</f>
        <v>0</v>
      </c>
      <c r="L113" s="510">
        <f t="shared" ref="L113:M114" si="17">IF(ISNUMBER(K113),K113,"")</f>
        <v>0</v>
      </c>
      <c r="M113" s="510">
        <f t="shared" si="17"/>
        <v>0</v>
      </c>
      <c r="N113" s="96" t="s">
        <v>118</v>
      </c>
      <c r="O113" s="113" t="s">
        <v>121</v>
      </c>
      <c r="P113" s="383"/>
      <c r="R113" s="383"/>
    </row>
    <row r="114" spans="1:27" ht="45" customHeight="1" thickBot="1" x14ac:dyDescent="0.4">
      <c r="B114" s="729" t="str">
        <f>IF(AND(ISNUMBER(J114),J114&gt;0),"OBS! Husk negativt fortegn ved EF","")</f>
        <v/>
      </c>
      <c r="C114" s="378" t="s">
        <v>122</v>
      </c>
      <c r="D114" s="495" t="s">
        <v>123</v>
      </c>
      <c r="E114" s="380" t="s">
        <v>117</v>
      </c>
      <c r="F114" s="218"/>
      <c r="G114" s="218"/>
      <c r="H114" s="218"/>
      <c r="I114" s="244"/>
      <c r="J114" s="213" t="s">
        <v>145</v>
      </c>
      <c r="K114" s="503">
        <f>IF(ISNUMBER(J114),J114,0)</f>
        <v>0</v>
      </c>
      <c r="L114" s="503">
        <f t="shared" si="17"/>
        <v>0</v>
      </c>
      <c r="M114" s="503">
        <f t="shared" si="17"/>
        <v>0</v>
      </c>
      <c r="N114" s="97" t="s">
        <v>118</v>
      </c>
      <c r="O114" s="114" t="s">
        <v>121</v>
      </c>
      <c r="P114" s="383"/>
      <c r="R114" s="383"/>
    </row>
    <row r="115" spans="1:27" ht="45" customHeight="1" x14ac:dyDescent="0.35">
      <c r="B115" s="383"/>
      <c r="O115" s="120"/>
      <c r="P115" s="383"/>
      <c r="Q115" s="383"/>
      <c r="R115" s="383"/>
    </row>
    <row r="116" spans="1:27" ht="45" customHeight="1" x14ac:dyDescent="0.35">
      <c r="O116" s="120"/>
      <c r="Q116" s="383"/>
      <c r="R116" s="383"/>
    </row>
    <row r="117" spans="1:27" ht="45" customHeight="1" x14ac:dyDescent="0.5">
      <c r="B117" s="450" t="s">
        <v>1439</v>
      </c>
      <c r="C117" s="476"/>
      <c r="D117" s="476"/>
      <c r="E117" s="476"/>
      <c r="F117" s="476"/>
      <c r="G117" s="476"/>
      <c r="H117" s="476"/>
      <c r="I117" s="476"/>
      <c r="J117" s="476"/>
      <c r="K117" s="476"/>
      <c r="L117" s="476"/>
      <c r="M117" s="476"/>
      <c r="N117" s="476"/>
      <c r="O117" s="477"/>
      <c r="P117" s="476"/>
      <c r="R117" s="383"/>
    </row>
    <row r="118" spans="1:27" ht="45" customHeight="1" thickBot="1" x14ac:dyDescent="0.4">
      <c r="O118" s="120"/>
      <c r="S118" s="383"/>
      <c r="T118" s="383"/>
      <c r="U118" s="383"/>
      <c r="V118" s="383"/>
      <c r="W118" s="383"/>
      <c r="X118" s="383"/>
      <c r="Y118" s="383"/>
      <c r="Z118" s="383"/>
      <c r="AA118" s="383"/>
    </row>
    <row r="119" spans="1:27" ht="45" customHeight="1" thickBot="1" x14ac:dyDescent="0.55000000000000004">
      <c r="C119" s="362" t="s">
        <v>124</v>
      </c>
      <c r="D119" s="363"/>
      <c r="E119" s="364"/>
      <c r="F119" s="364"/>
      <c r="G119" s="364"/>
      <c r="H119" s="364"/>
      <c r="I119" s="364"/>
      <c r="J119" s="417"/>
      <c r="K119" s="417"/>
      <c r="L119" s="418"/>
      <c r="M119" s="418"/>
      <c r="N119" s="419"/>
      <c r="O119" s="366" t="s">
        <v>1448</v>
      </c>
    </row>
    <row r="120" spans="1:27" ht="45" customHeight="1" x14ac:dyDescent="0.35">
      <c r="A120" s="3"/>
      <c r="C120" s="902" t="s">
        <v>125</v>
      </c>
      <c r="D120" s="903"/>
      <c r="E120" s="904"/>
      <c r="F120" s="367" t="s">
        <v>32</v>
      </c>
      <c r="G120" s="368"/>
      <c r="H120" s="369" t="s">
        <v>33</v>
      </c>
      <c r="I120" s="369"/>
      <c r="J120" s="908" t="s">
        <v>34</v>
      </c>
      <c r="K120" s="909"/>
      <c r="L120" s="909"/>
      <c r="M120" s="909"/>
      <c r="N120" s="910"/>
      <c r="O120" s="484" t="s">
        <v>36</v>
      </c>
      <c r="S120" s="453"/>
      <c r="T120" s="453"/>
      <c r="U120" s="453"/>
      <c r="V120" s="453"/>
      <c r="W120" s="453"/>
      <c r="X120" s="453"/>
      <c r="Y120" s="383"/>
      <c r="Z120" s="383"/>
    </row>
    <row r="121" spans="1:27" ht="45" customHeight="1" x14ac:dyDescent="0.35">
      <c r="C121" s="905" t="s">
        <v>1176</v>
      </c>
      <c r="D121" s="906"/>
      <c r="E121" s="907"/>
      <c r="F121" s="425">
        <v>2023</v>
      </c>
      <c r="G121" s="425">
        <v>2025</v>
      </c>
      <c r="H121" s="425">
        <f t="shared" ref="H121:I121" si="18">G121+5</f>
        <v>2030</v>
      </c>
      <c r="I121" s="426">
        <f t="shared" si="18"/>
        <v>2035</v>
      </c>
      <c r="J121" s="374">
        <v>2023</v>
      </c>
      <c r="K121" s="375">
        <v>2025</v>
      </c>
      <c r="L121" s="375">
        <v>2030</v>
      </c>
      <c r="M121" s="375">
        <v>2035</v>
      </c>
      <c r="N121" s="376" t="s">
        <v>35</v>
      </c>
      <c r="O121" s="440"/>
    </row>
    <row r="122" spans="1:27" ht="45" customHeight="1" x14ac:dyDescent="0.35">
      <c r="C122" s="431" t="s">
        <v>126</v>
      </c>
      <c r="D122" s="494" t="s">
        <v>127</v>
      </c>
      <c r="E122" s="385" t="s">
        <v>39</v>
      </c>
      <c r="F122" s="214">
        <f>IF(ISNUMBER(INDEX('Data SPV trans'!E6:E235,MATCH(Afløb!C2,'Data SPV trans'!A6:A235,0))),INDEX('Data SPV trans'!E6:E235,MATCH(Afløb!C2,'Data SPV trans'!A6:A235,0)),0)</f>
        <v>0</v>
      </c>
      <c r="G122" s="86"/>
      <c r="H122" s="86"/>
      <c r="I122" s="98"/>
      <c r="J122" s="490">
        <f>-SUM(J62,J105)</f>
        <v>-0.16233</v>
      </c>
      <c r="K122" s="391">
        <f>-SUM(K62,K105)</f>
        <v>-0.11474999999999999</v>
      </c>
      <c r="L122" s="391">
        <f>-SUM(L62,L105)</f>
        <v>-8.1430000000000002E-2</v>
      </c>
      <c r="M122" s="391">
        <f>-SUM(M62,M105)</f>
        <v>-7.6939999999999995E-2</v>
      </c>
      <c r="N122" s="445" t="s">
        <v>42</v>
      </c>
      <c r="O122" s="104"/>
      <c r="Q122" s="383"/>
    </row>
    <row r="123" spans="1:27" ht="45" customHeight="1" thickBot="1" x14ac:dyDescent="0.4">
      <c r="B123" s="383"/>
      <c r="C123" s="378" t="s">
        <v>128</v>
      </c>
      <c r="D123" s="495" t="s">
        <v>129</v>
      </c>
      <c r="E123" s="380" t="s">
        <v>39</v>
      </c>
      <c r="F123" s="216">
        <f>IF(ISNUMBER(INDEX('Data SPV trans'!F6:F235,MATCH(Afløb!C2,'Data SPV trans'!A6:A235,0))),INDEX('Data SPV trans'!F6:F235,MATCH(Afløb!C2,'Data SPV trans'!A6:A235,0)),0)</f>
        <v>0</v>
      </c>
      <c r="G123" s="220"/>
      <c r="H123" s="220"/>
      <c r="I123" s="221"/>
      <c r="J123" s="502">
        <f>-SUM(J56,J104)</f>
        <v>-5.9835081772502977E-2</v>
      </c>
      <c r="K123" s="503">
        <f>-SUM(K56,K104)</f>
        <v>-4.619645545304716E-2</v>
      </c>
      <c r="L123" s="503">
        <f>-SUM(L56,L104)</f>
        <v>-2.3617762562049623E-2</v>
      </c>
      <c r="M123" s="503">
        <f>-SUM(M56,M104)</f>
        <v>-1.4674540925272202E-2</v>
      </c>
      <c r="N123" s="433" t="s">
        <v>42</v>
      </c>
      <c r="O123" s="108"/>
      <c r="P123" s="383"/>
    </row>
    <row r="124" spans="1:27" ht="45" customHeight="1" x14ac:dyDescent="0.35">
      <c r="O124" s="120"/>
      <c r="Q124" s="383"/>
    </row>
    <row r="125" spans="1:27" ht="45" customHeight="1" thickBot="1" x14ac:dyDescent="0.4">
      <c r="O125" s="120"/>
    </row>
    <row r="126" spans="1:27" ht="45" customHeight="1" thickBot="1" x14ac:dyDescent="0.55000000000000004">
      <c r="B126" s="383"/>
      <c r="C126" s="362" t="s">
        <v>130</v>
      </c>
      <c r="D126" s="363"/>
      <c r="E126" s="364"/>
      <c r="F126" s="364"/>
      <c r="G126" s="364"/>
      <c r="H126" s="364"/>
      <c r="I126" s="364"/>
      <c r="J126" s="364"/>
      <c r="K126" s="364"/>
      <c r="L126" s="365"/>
      <c r="M126" s="365"/>
      <c r="N126" s="419"/>
      <c r="O126" s="366" t="s">
        <v>1449</v>
      </c>
      <c r="P126" s="383"/>
    </row>
    <row r="127" spans="1:27" ht="45" customHeight="1" x14ac:dyDescent="0.35">
      <c r="B127" s="383"/>
      <c r="C127" s="902" t="s">
        <v>1178</v>
      </c>
      <c r="D127" s="903"/>
      <c r="E127" s="904"/>
      <c r="F127" s="420" t="s">
        <v>32</v>
      </c>
      <c r="G127" s="368"/>
      <c r="H127" s="422" t="s">
        <v>33</v>
      </c>
      <c r="I127" s="422"/>
      <c r="J127" s="908" t="s">
        <v>34</v>
      </c>
      <c r="K127" s="909"/>
      <c r="L127" s="909"/>
      <c r="M127" s="909"/>
      <c r="N127" s="910"/>
      <c r="O127" s="438" t="s">
        <v>36</v>
      </c>
      <c r="P127" s="383"/>
    </row>
    <row r="128" spans="1:27" ht="45" customHeight="1" x14ac:dyDescent="0.35">
      <c r="B128" s="383"/>
      <c r="C128" s="905" t="s">
        <v>1175</v>
      </c>
      <c r="D128" s="906"/>
      <c r="E128" s="907"/>
      <c r="F128" s="425">
        <v>2023</v>
      </c>
      <c r="G128" s="425">
        <v>2025</v>
      </c>
      <c r="H128" s="425">
        <f t="shared" ref="H128:I128" si="19">G128+5</f>
        <v>2030</v>
      </c>
      <c r="I128" s="426">
        <f t="shared" si="19"/>
        <v>2035</v>
      </c>
      <c r="J128" s="374">
        <v>2023</v>
      </c>
      <c r="K128" s="375">
        <v>2025</v>
      </c>
      <c r="L128" s="375">
        <v>2030</v>
      </c>
      <c r="M128" s="375">
        <v>2035</v>
      </c>
      <c r="N128" s="376" t="s">
        <v>35</v>
      </c>
      <c r="O128" s="440"/>
      <c r="P128" s="383"/>
    </row>
    <row r="129" spans="2:17" ht="45" customHeight="1" x14ac:dyDescent="0.35">
      <c r="B129" s="729" t="str">
        <f>IF(AND(ISNUMBER(J129),J129&gt;0),"OBS! Husk negativt fortegn ved EF","")</f>
        <v/>
      </c>
      <c r="C129" s="431" t="s">
        <v>119</v>
      </c>
      <c r="D129" s="428" t="s">
        <v>133</v>
      </c>
      <c r="E129" s="429" t="s">
        <v>117</v>
      </c>
      <c r="F129" s="86"/>
      <c r="G129" s="86"/>
      <c r="H129" s="86"/>
      <c r="I129" s="98"/>
      <c r="J129" s="212" t="s">
        <v>145</v>
      </c>
      <c r="K129" s="510">
        <f>IF(ISNUMBER(J129),J129,0)</f>
        <v>0</v>
      </c>
      <c r="L129" s="510">
        <f t="shared" ref="L129:M129" si="20">IF(ISNUMBER(K129),K129,"")</f>
        <v>0</v>
      </c>
      <c r="M129" s="510">
        <f t="shared" si="20"/>
        <v>0</v>
      </c>
      <c r="N129" s="96" t="s">
        <v>118</v>
      </c>
      <c r="O129" s="107" t="s">
        <v>121</v>
      </c>
      <c r="P129" s="383"/>
    </row>
    <row r="130" spans="2:17" ht="45" customHeight="1" thickBot="1" x14ac:dyDescent="0.4">
      <c r="B130" s="729" t="str">
        <f>IF(AND(ISNUMBER(J130),J130&gt;0),"OBS! Husk negativt fortegn ved EF","")</f>
        <v/>
      </c>
      <c r="C130" s="378" t="s">
        <v>122</v>
      </c>
      <c r="D130" s="495" t="s">
        <v>134</v>
      </c>
      <c r="E130" s="380" t="s">
        <v>117</v>
      </c>
      <c r="F130" s="218"/>
      <c r="G130" s="218"/>
      <c r="H130" s="218"/>
      <c r="I130" s="219"/>
      <c r="J130" s="213" t="s">
        <v>145</v>
      </c>
      <c r="K130" s="503">
        <f>IF(ISNUMBER(J130),J130,0)</f>
        <v>0</v>
      </c>
      <c r="L130" s="503">
        <f t="shared" ref="L130:M130" si="21">IF(ISNUMBER(K130),K130,"")</f>
        <v>0</v>
      </c>
      <c r="M130" s="503">
        <f t="shared" si="21"/>
        <v>0</v>
      </c>
      <c r="N130" s="97" t="s">
        <v>118</v>
      </c>
      <c r="O130" s="835" t="s">
        <v>121</v>
      </c>
      <c r="P130" s="383"/>
    </row>
    <row r="131" spans="2:17" ht="45" customHeight="1" x14ac:dyDescent="0.35">
      <c r="Q131" s="415"/>
    </row>
    <row r="132" spans="2:17" ht="45" customHeight="1" x14ac:dyDescent="0.5">
      <c r="B132" s="450"/>
      <c r="C132" s="476"/>
      <c r="D132" s="476"/>
      <c r="E132" s="476"/>
      <c r="F132" s="476"/>
      <c r="G132" s="476"/>
      <c r="H132" s="476"/>
      <c r="I132" s="476"/>
      <c r="J132" s="476"/>
      <c r="K132" s="476"/>
      <c r="L132" s="476"/>
      <c r="M132" s="476"/>
      <c r="N132" s="476"/>
      <c r="O132" s="476"/>
      <c r="P132" s="476"/>
      <c r="Q132" s="415"/>
    </row>
    <row r="133" spans="2:17" ht="45" customHeight="1" x14ac:dyDescent="0.35">
      <c r="Q133" s="415"/>
    </row>
    <row r="134" spans="2:17" ht="45" customHeight="1" x14ac:dyDescent="0.35"/>
    <row r="135" spans="2:17" ht="45" customHeight="1" x14ac:dyDescent="0.35"/>
    <row r="136" spans="2:17" ht="45" customHeight="1" x14ac:dyDescent="0.35"/>
    <row r="137" spans="2:17" ht="45" customHeight="1" x14ac:dyDescent="0.35"/>
    <row r="138" spans="2:17" ht="45" customHeight="1" x14ac:dyDescent="0.35">
      <c r="P138" s="453"/>
    </row>
  </sheetData>
  <sheetProtection algorithmName="SHA-512" hashValue="JCgrVL2iR1Npex89bV9FIKrDnyGNaRmJWlJ6jfQTYZChFmHR23HVwwKJksCtMxJfD+1WGXogga9c390Xy1Pn1Q==" saltValue="hXjp8OMGcdYeusj7PqoShQ==" spinCount="100000" sheet="1" formatCells="0"/>
  <dataConsolidate/>
  <mergeCells count="40">
    <mergeCell ref="J31:N31"/>
    <mergeCell ref="J93:N93"/>
    <mergeCell ref="J101:N101"/>
    <mergeCell ref="J60:N60"/>
    <mergeCell ref="G91:I91"/>
    <mergeCell ref="J111:N111"/>
    <mergeCell ref="J127:N127"/>
    <mergeCell ref="J34:N34"/>
    <mergeCell ref="J38:N38"/>
    <mergeCell ref="J120:N120"/>
    <mergeCell ref="J68:N68"/>
    <mergeCell ref="J80:N80"/>
    <mergeCell ref="J91:N91"/>
    <mergeCell ref="J71:M71"/>
    <mergeCell ref="C20:E20"/>
    <mergeCell ref="C21:E21"/>
    <mergeCell ref="C68:E68"/>
    <mergeCell ref="C69:E69"/>
    <mergeCell ref="J70:M70"/>
    <mergeCell ref="C29:E29"/>
    <mergeCell ref="C30:E30"/>
    <mergeCell ref="J29:N29"/>
    <mergeCell ref="C45:E45"/>
    <mergeCell ref="C46:E46"/>
    <mergeCell ref="C54:E54"/>
    <mergeCell ref="C60:E60"/>
    <mergeCell ref="J20:N20"/>
    <mergeCell ref="J22:N22"/>
    <mergeCell ref="J45:N45"/>
    <mergeCell ref="J54:N54"/>
    <mergeCell ref="C80:E80"/>
    <mergeCell ref="C81:E81"/>
    <mergeCell ref="C91:E91"/>
    <mergeCell ref="C92:E92"/>
    <mergeCell ref="C111:E111"/>
    <mergeCell ref="C112:E112"/>
    <mergeCell ref="C120:E120"/>
    <mergeCell ref="C121:E121"/>
    <mergeCell ref="C127:E127"/>
    <mergeCell ref="C128:E128"/>
  </mergeCells>
  <conditionalFormatting sqref="F47:I48">
    <cfRule type="expression" dxfId="5" priority="1">
      <formula>"or($B$3&lt;&gt;2753;$B$3&lt;&gt;2651;$B$3&lt;&gt;1431;$B$3&lt;&gt;2803)"</formula>
    </cfRule>
    <cfRule type="expression" dxfId="4" priority="2">
      <formula>OR($B$3=2753,$B$3=2651,$B$3=1431,$B$3=2803)</formula>
    </cfRule>
  </conditionalFormatting>
  <dataValidations count="2">
    <dataValidation type="list" allowBlank="1" showInputMessage="1" showErrorMessage="1" sqref="S53:V53" xr:uid="{8FE7342F-2F8D-4A67-84F2-A3B5A2DD12D3}">
      <formula1>#REF!</formula1>
    </dataValidation>
    <dataValidation type="decimal" errorStyle="information" allowBlank="1" showInputMessage="1" showErrorMessage="1" error="Indsæt kun tal" sqref="F22:I130" xr:uid="{E68DA17E-18B3-40DE-BF0F-00D21C487FA4}">
      <formula1>0</formula1>
      <formula2>1000000000000000</formula2>
    </dataValidation>
  </dataValidations>
  <pageMargins left="0.7" right="0.7" top="0.75" bottom="0.75" header="0.3" footer="0.3"/>
  <pageSetup paperSize="9" fitToWidth="0" orientation="portrait" verticalDpi="0" r:id="rId1"/>
  <headerFooter scaleWithDoc="0" alignWithMargins="0"/>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99A7DE6A-0EA5-4BD6-BCA2-9B0334D01457}">
          <x14:formula1>
            <xm:f>EF!$A$78:$A$117</xm:f>
          </x14:formula1>
          <xm:sqref>C82:C84</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DCEFBD-7A8C-4DE2-B02D-0AC44B5A3E1F}">
  <sheetPr codeName="Sheet6">
    <tabColor rgb="FF9BAC96"/>
    <pageSetUpPr fitToPage="1"/>
  </sheetPr>
  <dimension ref="A1:AD244"/>
  <sheetViews>
    <sheetView showGridLines="0" topLeftCell="A6" zoomScale="50" zoomScaleNormal="50" workbookViewId="0">
      <selection activeCell="F64" sqref="F64:I64"/>
    </sheetView>
  </sheetViews>
  <sheetFormatPr defaultRowHeight="14.5" x14ac:dyDescent="0.35"/>
  <cols>
    <col min="1" max="1" width="9.1796875" customWidth="1"/>
    <col min="2" max="2" width="32.54296875" customWidth="1"/>
    <col min="3" max="3" width="33.7265625" customWidth="1"/>
    <col min="4" max="4" width="77" customWidth="1"/>
    <col min="5" max="14" width="15.7265625" customWidth="1"/>
    <col min="15" max="15" width="34.26953125" customWidth="1"/>
    <col min="16" max="16" width="27.7265625" customWidth="1"/>
    <col min="17" max="17" width="20.81640625" customWidth="1"/>
    <col min="18" max="18" width="11.81640625" bestFit="1" customWidth="1"/>
    <col min="19" max="19" width="11.1796875" bestFit="1" customWidth="1"/>
    <col min="20" max="22" width="10" customWidth="1"/>
    <col min="23" max="23" width="13.1796875" customWidth="1"/>
    <col min="24" max="26" width="13.1796875" hidden="1" customWidth="1"/>
    <col min="27" max="27" width="13.1796875" customWidth="1"/>
    <col min="30" max="30" width="9.81640625" customWidth="1"/>
  </cols>
  <sheetData>
    <row r="1" spans="1:18" ht="32" x14ac:dyDescent="0.7">
      <c r="A1" s="116" t="s">
        <v>141</v>
      </c>
      <c r="F1" s="117"/>
    </row>
    <row r="2" spans="1:18" ht="32" x14ac:dyDescent="0.7">
      <c r="A2" s="118" t="s">
        <v>30</v>
      </c>
      <c r="C2" s="118" t="str">
        <f>Basisoplysninger!B7</f>
        <v>Vælg selskab (drop down)</v>
      </c>
      <c r="F2" s="119"/>
      <c r="Q2" s="118"/>
      <c r="R2" s="119"/>
    </row>
    <row r="3" spans="1:18" ht="40.15" customHeight="1" x14ac:dyDescent="0.35">
      <c r="B3" s="7" t="e">
        <f>INDEX(rSPV!A10:A111,MATCH(Renseanlæg!C2,rSPV!B10:B111,0))</f>
        <v>#N/A</v>
      </c>
    </row>
    <row r="4" spans="1:18" ht="40.15" customHeight="1" x14ac:dyDescent="0.35">
      <c r="F4" s="3"/>
    </row>
    <row r="5" spans="1:18" ht="40.15" customHeight="1" x14ac:dyDescent="0.35"/>
    <row r="6" spans="1:18" ht="40.15" customHeight="1" x14ac:dyDescent="0.35"/>
    <row r="7" spans="1:18" ht="40.15" customHeight="1" x14ac:dyDescent="0.35"/>
    <row r="8" spans="1:18" ht="40.15" customHeight="1" x14ac:dyDescent="0.35"/>
    <row r="9" spans="1:18" ht="40.15" customHeight="1" x14ac:dyDescent="0.35"/>
    <row r="10" spans="1:18" ht="40.15" customHeight="1" x14ac:dyDescent="0.35"/>
    <row r="11" spans="1:18" ht="40.15" customHeight="1" x14ac:dyDescent="0.35"/>
    <row r="12" spans="1:18" ht="40.15" customHeight="1" x14ac:dyDescent="0.35"/>
    <row r="13" spans="1:18" ht="40.15" customHeight="1" x14ac:dyDescent="0.35"/>
    <row r="14" spans="1:18" ht="40.15" customHeight="1" x14ac:dyDescent="0.35"/>
    <row r="15" spans="1:18" ht="40.15" customHeight="1" x14ac:dyDescent="0.35"/>
    <row r="16" spans="1:18" ht="40.15" customHeight="1" x14ac:dyDescent="0.35"/>
    <row r="17" spans="1:30" ht="45" customHeight="1" x14ac:dyDescent="0.5">
      <c r="B17" s="359" t="s">
        <v>1283</v>
      </c>
      <c r="C17" s="360"/>
      <c r="D17" s="360"/>
      <c r="E17" s="360"/>
      <c r="F17" s="360"/>
      <c r="G17" s="360"/>
      <c r="H17" s="360"/>
      <c r="I17" s="360"/>
      <c r="J17" s="360"/>
      <c r="K17" s="360"/>
      <c r="L17" s="360"/>
      <c r="M17" s="360"/>
      <c r="N17" s="360"/>
      <c r="O17" s="360"/>
      <c r="P17" s="360"/>
      <c r="R17" s="361"/>
      <c r="S17" s="361"/>
      <c r="T17" s="361"/>
      <c r="U17" s="361"/>
      <c r="V17" s="361"/>
      <c r="W17" s="361"/>
      <c r="X17" s="361"/>
    </row>
    <row r="18" spans="1:30" ht="45" customHeight="1" thickBot="1" x14ac:dyDescent="0.4">
      <c r="AD18" s="336"/>
    </row>
    <row r="19" spans="1:30" ht="45" customHeight="1" thickBot="1" x14ac:dyDescent="0.55000000000000004">
      <c r="C19" s="362" t="s">
        <v>1284</v>
      </c>
      <c r="D19" s="363"/>
      <c r="E19" s="364"/>
      <c r="F19" s="364"/>
      <c r="G19" s="364"/>
      <c r="H19" s="364"/>
      <c r="I19" s="364"/>
      <c r="J19" s="364"/>
      <c r="K19" s="364"/>
      <c r="L19" s="365"/>
      <c r="M19" s="365"/>
      <c r="N19" s="121"/>
      <c r="O19" s="366"/>
    </row>
    <row r="20" spans="1:30" ht="45" customHeight="1" x14ac:dyDescent="0.35">
      <c r="C20" s="902" t="s">
        <v>1285</v>
      </c>
      <c r="D20" s="903"/>
      <c r="E20" s="904"/>
      <c r="F20" s="367" t="s">
        <v>32</v>
      </c>
      <c r="G20" s="368"/>
      <c r="H20" s="369" t="s">
        <v>33</v>
      </c>
      <c r="I20" s="370"/>
      <c r="J20" s="908" t="s">
        <v>34</v>
      </c>
      <c r="K20" s="909"/>
      <c r="L20" s="909"/>
      <c r="M20" s="909"/>
      <c r="N20" s="910"/>
      <c r="O20" s="371"/>
    </row>
    <row r="21" spans="1:30" ht="45" customHeight="1" x14ac:dyDescent="0.35">
      <c r="C21" s="905" t="s">
        <v>1287</v>
      </c>
      <c r="D21" s="906"/>
      <c r="E21" s="907"/>
      <c r="F21" s="372">
        <v>2023</v>
      </c>
      <c r="G21" s="372">
        <v>2025</v>
      </c>
      <c r="H21" s="372">
        <f t="shared" ref="H21:I21" si="0">G21+5</f>
        <v>2030</v>
      </c>
      <c r="I21" s="373">
        <f t="shared" si="0"/>
        <v>2035</v>
      </c>
      <c r="J21" s="374">
        <v>2023</v>
      </c>
      <c r="K21" s="375">
        <v>2025</v>
      </c>
      <c r="L21" s="375">
        <v>2030</v>
      </c>
      <c r="M21" s="375">
        <v>2035</v>
      </c>
      <c r="N21" s="376" t="s">
        <v>35</v>
      </c>
      <c r="O21" s="377" t="s">
        <v>36</v>
      </c>
    </row>
    <row r="22" spans="1:30" ht="45" customHeight="1" thickBot="1" x14ac:dyDescent="0.4">
      <c r="C22" s="378" t="s">
        <v>1391</v>
      </c>
      <c r="D22" s="379" t="s">
        <v>1392</v>
      </c>
      <c r="E22" s="380" t="s">
        <v>70</v>
      </c>
      <c r="F22" s="245">
        <f>IFERROR(INDEX('Data SPV rens'!N5:N110,MATCH(Basisoplysninger!B7,'Data SPV rens'!A5:A110,0)),"")</f>
        <v>0</v>
      </c>
      <c r="G22" s="352"/>
      <c r="H22" s="352"/>
      <c r="I22" s="353"/>
      <c r="J22" s="911" t="s">
        <v>1291</v>
      </c>
      <c r="K22" s="912"/>
      <c r="L22" s="912"/>
      <c r="M22" s="912"/>
      <c r="N22" s="913"/>
      <c r="O22" s="710"/>
    </row>
    <row r="23" spans="1:30" s="120" customFormat="1" ht="45" customHeight="1" x14ac:dyDescent="0.35"/>
    <row r="24" spans="1:30" ht="45" customHeight="1" x14ac:dyDescent="0.5">
      <c r="B24" s="359"/>
      <c r="C24" s="360"/>
      <c r="D24" s="360"/>
      <c r="E24" s="360"/>
      <c r="F24" s="360"/>
      <c r="G24" s="360"/>
      <c r="H24" s="360"/>
      <c r="I24" s="360"/>
      <c r="J24" s="360"/>
      <c r="K24" s="360"/>
      <c r="L24" s="360"/>
      <c r="M24" s="360"/>
      <c r="N24" s="360"/>
      <c r="O24" s="360"/>
      <c r="P24" s="360"/>
    </row>
    <row r="25" spans="1:30" ht="45" customHeight="1" x14ac:dyDescent="0.35"/>
    <row r="26" spans="1:30" ht="45" customHeight="1" x14ac:dyDescent="0.5">
      <c r="B26" s="381" t="s">
        <v>1469</v>
      </c>
      <c r="C26" s="382"/>
      <c r="D26" s="382"/>
      <c r="E26" s="382"/>
      <c r="F26" s="382"/>
      <c r="G26" s="382"/>
      <c r="H26" s="382"/>
      <c r="I26" s="382"/>
      <c r="J26" s="382"/>
      <c r="K26" s="382"/>
      <c r="L26" s="382"/>
      <c r="M26" s="382"/>
      <c r="N26" s="382"/>
      <c r="O26" s="382"/>
      <c r="P26" s="361"/>
      <c r="Q26" s="361"/>
    </row>
    <row r="27" spans="1:30" ht="45" customHeight="1" thickBot="1" x14ac:dyDescent="0.4">
      <c r="J27" s="120"/>
      <c r="K27" s="120"/>
      <c r="L27" s="120"/>
      <c r="M27" s="120"/>
      <c r="O27" s="120"/>
    </row>
    <row r="28" spans="1:30" ht="45" customHeight="1" thickBot="1" x14ac:dyDescent="0.55000000000000004">
      <c r="B28" s="383"/>
      <c r="C28" s="362" t="s">
        <v>31</v>
      </c>
      <c r="D28" s="363"/>
      <c r="E28" s="364"/>
      <c r="F28" s="364"/>
      <c r="G28" s="364"/>
      <c r="H28" s="364"/>
      <c r="I28" s="364"/>
      <c r="J28" s="417"/>
      <c r="K28" s="417"/>
      <c r="L28" s="418"/>
      <c r="M28" s="418"/>
      <c r="N28" s="419"/>
      <c r="O28" s="366" t="s">
        <v>1450</v>
      </c>
      <c r="P28" s="383"/>
    </row>
    <row r="29" spans="1:30" ht="45" customHeight="1" x14ac:dyDescent="0.35">
      <c r="B29" s="383"/>
      <c r="C29" s="902" t="s">
        <v>1350</v>
      </c>
      <c r="D29" s="903"/>
      <c r="E29" s="903"/>
      <c r="F29" s="420" t="s">
        <v>32</v>
      </c>
      <c r="G29" s="421"/>
      <c r="H29" s="422" t="s">
        <v>33</v>
      </c>
      <c r="I29" s="422"/>
      <c r="J29" s="928" t="s">
        <v>34</v>
      </c>
      <c r="K29" s="929"/>
      <c r="L29" s="929"/>
      <c r="M29" s="929"/>
      <c r="N29" s="930"/>
      <c r="O29" s="515" t="s">
        <v>36</v>
      </c>
      <c r="P29" s="383"/>
    </row>
    <row r="30" spans="1:30" ht="45" customHeight="1" x14ac:dyDescent="0.35">
      <c r="A30" s="3"/>
      <c r="B30" s="383"/>
      <c r="C30" s="905" t="s">
        <v>1181</v>
      </c>
      <c r="D30" s="906"/>
      <c r="E30" s="907"/>
      <c r="F30" s="372">
        <v>2023</v>
      </c>
      <c r="G30" s="372">
        <v>2025</v>
      </c>
      <c r="H30" s="372">
        <f t="shared" ref="H30:I30" si="1">G30+5</f>
        <v>2030</v>
      </c>
      <c r="I30" s="424">
        <f t="shared" si="1"/>
        <v>2035</v>
      </c>
      <c r="J30" s="374">
        <v>2023</v>
      </c>
      <c r="K30" s="375">
        <v>2025</v>
      </c>
      <c r="L30" s="375">
        <v>2030</v>
      </c>
      <c r="M30" s="375">
        <v>2035</v>
      </c>
      <c r="N30" s="376" t="s">
        <v>35</v>
      </c>
      <c r="O30" s="440"/>
      <c r="P30" s="383"/>
    </row>
    <row r="31" spans="1:30" ht="45" customHeight="1" x14ac:dyDescent="0.35">
      <c r="A31" s="3"/>
      <c r="B31" s="734" t="str">
        <f>IF(F31=SUM(F32:F33,F35:F36,F37,F39:F41),"","OBS! Samlet sum af købt brændsel/varme 2023 stemmer ikke overens med underkategorierne")</f>
        <v/>
      </c>
      <c r="C31" s="384" t="s">
        <v>142</v>
      </c>
      <c r="D31" s="385" t="s">
        <v>38</v>
      </c>
      <c r="E31" s="385" t="s">
        <v>39</v>
      </c>
      <c r="F31" s="240">
        <f>IF(ISNUMBER(INDEX('Data SPV rens'!$D$5:$D$110,MATCH($C$2,'Data SPV rens'!$A$5:$A$110,0))),INDEX('Data SPV rens'!$D$5:$D$110,MATCH($C$2,'Data SPV rens'!$A$5:$A$110,0)),0)</f>
        <v>0</v>
      </c>
      <c r="G31" s="241">
        <f>SUM(G32:G34,G37,G38)</f>
        <v>0</v>
      </c>
      <c r="H31" s="241">
        <f>SUM(H32:H34,H37,H38)</f>
        <v>0</v>
      </c>
      <c r="I31" s="246">
        <f>SUM(I32:I34,I37,I38)</f>
        <v>0</v>
      </c>
      <c r="J31" s="919" t="s">
        <v>1358</v>
      </c>
      <c r="K31" s="920"/>
      <c r="L31" s="920"/>
      <c r="M31" s="920"/>
      <c r="N31" s="921"/>
      <c r="O31" s="104"/>
      <c r="P31" s="383"/>
    </row>
    <row r="32" spans="1:30" ht="45" customHeight="1" x14ac:dyDescent="0.35">
      <c r="A32" s="388"/>
      <c r="B32" s="393" t="s">
        <v>143</v>
      </c>
      <c r="C32" s="390" t="s">
        <v>40</v>
      </c>
      <c r="D32" s="385" t="s">
        <v>41</v>
      </c>
      <c r="E32" s="385" t="s">
        <v>39</v>
      </c>
      <c r="F32" s="240">
        <f>IF(ISNUMBER(INDEX('Data SPV rens'!$O$5:$O$110,MATCH($C$2,'Data SPV rens'!$A$5:$A$110,0))),INDEX('Data SPV rens'!$O$5:$O$110,MATCH($C$2,'Data SPV rens'!$A$5:$A$110,0)),0)</f>
        <v>0</v>
      </c>
      <c r="G32" s="86"/>
      <c r="H32" s="86"/>
      <c r="I32" s="98"/>
      <c r="J32" s="212" t="s">
        <v>1528</v>
      </c>
      <c r="K32" s="391">
        <f>IF(AND(ISNUMBER($J$32),J32&gt;0),$J$32*EF!E53/EF!C53,EF!E53)</f>
        <v>3.6957164362437726E-2</v>
      </c>
      <c r="L32" s="391">
        <f>IF(AND(ISNUMBER($J$32),J32&gt;0),$J$32*EF!G53/EF!C53,EF!G53)</f>
        <v>1.8894210049639697E-2</v>
      </c>
      <c r="M32" s="391">
        <f>IF(AND(ISNUMBER($J$32),J32&gt;0),$J$32*EF!I53/EF!C53,EF!I53)</f>
        <v>1.1739632740217762E-2</v>
      </c>
      <c r="N32" s="392" t="s">
        <v>42</v>
      </c>
      <c r="O32" s="707" t="s">
        <v>1361</v>
      </c>
      <c r="P32" s="389"/>
      <c r="Q32" s="120"/>
    </row>
    <row r="33" spans="1:27" ht="45" customHeight="1" x14ac:dyDescent="0.35">
      <c r="A33" s="3"/>
      <c r="B33" s="393" t="s">
        <v>43</v>
      </c>
      <c r="C33" s="394" t="s">
        <v>44</v>
      </c>
      <c r="D33" s="385" t="s">
        <v>1475</v>
      </c>
      <c r="E33" s="395" t="s">
        <v>39</v>
      </c>
      <c r="F33" s="240">
        <f>IF(ISNUMBER(INDEX('Data SPV rens'!$P$5:$P$110,MATCH($C$2,'Data SPV rens'!$A$5:$A$110,0))),INDEX('Data SPV rens'!$P$5:$P$110,MATCH($C$2,'Data SPV rens'!$A$5:$A$110,0)),0)</f>
        <v>0</v>
      </c>
      <c r="G33" s="242"/>
      <c r="H33" s="242"/>
      <c r="I33" s="247"/>
      <c r="J33" s="396">
        <f>IFERROR(INDEX(EF!$C$40:$C$49,MATCH("Naturgas",EF!$A$40:$A$49,0)),"")</f>
        <v>0.11291822816432782</v>
      </c>
      <c r="K33" s="397">
        <f>IFERROR(INDEX(EF!$E$40:$E$49,MATCH("naturgas",EF!$A$40:$A$49,0)),"")</f>
        <v>9.2578966619212236E-2</v>
      </c>
      <c r="L33" s="397">
        <f>IFERROR(INDEX(EF!$G$40:$G$49,MATCH("naturgas",EF!$A$40:$A$49,0)),"")</f>
        <v>1.2777777777777776E-4</v>
      </c>
      <c r="M33" s="397">
        <f>IFERROR(INDEX(EF!$I$40:$I$49,MATCH("naturgas",EF!$A$40:$A$49,0)),"")</f>
        <v>1.2777777777777776E-4</v>
      </c>
      <c r="N33" s="392" t="s">
        <v>42</v>
      </c>
      <c r="O33" s="104"/>
      <c r="P33" s="383"/>
    </row>
    <row r="34" spans="1:27" ht="45" customHeight="1" x14ac:dyDescent="0.35">
      <c r="A34" s="3"/>
      <c r="B34" s="393" t="s">
        <v>46</v>
      </c>
      <c r="C34" s="394" t="s">
        <v>47</v>
      </c>
      <c r="D34" s="385" t="s">
        <v>1513</v>
      </c>
      <c r="E34" s="395" t="s">
        <v>39</v>
      </c>
      <c r="F34" s="240">
        <f>IF(ISNUMBER(INDEX('Data SPV rens'!$Q$5:$Q$110,MATCH($C$2,'Data SPV rens'!$A$5:$A$110,0))),INDEX('Data SPV rens'!$Q$5:$Q$110,MATCH($C$2,'Data SPV rens'!$A$5:$A$110,0)),SUM(F35:F36))</f>
        <v>0</v>
      </c>
      <c r="G34" s="241">
        <f>SUM(G35:G36)</f>
        <v>0</v>
      </c>
      <c r="H34" s="241">
        <f>SUM(H35:H36)</f>
        <v>0</v>
      </c>
      <c r="I34" s="246">
        <f>SUM(I35:I36)</f>
        <v>0</v>
      </c>
      <c r="J34" s="919" t="s">
        <v>1358</v>
      </c>
      <c r="K34" s="920"/>
      <c r="L34" s="920"/>
      <c r="M34" s="920"/>
      <c r="N34" s="921"/>
      <c r="O34" s="104"/>
      <c r="P34" s="383"/>
    </row>
    <row r="35" spans="1:27" ht="45" customHeight="1" x14ac:dyDescent="0.35">
      <c r="B35" s="398" t="s">
        <v>48</v>
      </c>
      <c r="C35" s="399" t="s">
        <v>49</v>
      </c>
      <c r="D35" s="400" t="s">
        <v>1476</v>
      </c>
      <c r="E35" s="385" t="s">
        <v>39</v>
      </c>
      <c r="F35" s="86"/>
      <c r="G35" s="86"/>
      <c r="H35" s="86"/>
      <c r="I35" s="98"/>
      <c r="J35" s="396">
        <f>IFERROR(INDEX(EF!$C$40:$C$49,MATCH("fyringsolie (gasolie)",EF!$A$40:$A$49,0)),"")</f>
        <v>0.26624334440826636</v>
      </c>
      <c r="K35" s="397">
        <f>IFERROR(INDEX(EF!$E$40:$E$49,MATCH("fyringsolie (gasolie)",EF!$A$40:$A$49,0)),"")</f>
        <v>0.26633663366336635</v>
      </c>
      <c r="L35" s="397">
        <f>IFERROR(INDEX(EF!$G$40:$G$49,MATCH("fyringsolie (gasolie)",EF!$A$40:$A$49,0)),"")</f>
        <v>0.26633663366336635</v>
      </c>
      <c r="M35" s="397">
        <f>IFERROR(INDEX(EF!$I$40:$I$49,MATCH("fyringsolie (gasolie)",EF!$A$40:$A$49,0)),"")</f>
        <v>0.26633663366336635</v>
      </c>
      <c r="N35" s="392" t="s">
        <v>42</v>
      </c>
      <c r="O35" s="104"/>
      <c r="P35" s="383"/>
      <c r="R35" s="383"/>
      <c r="S35" s="383"/>
      <c r="T35" s="383"/>
      <c r="U35" s="383"/>
      <c r="V35" s="383"/>
      <c r="W35" s="383"/>
      <c r="X35" s="383"/>
      <c r="Y35" s="383"/>
      <c r="Z35" s="383"/>
      <c r="AA35" s="383"/>
    </row>
    <row r="36" spans="1:27" ht="45" customHeight="1" x14ac:dyDescent="0.35">
      <c r="B36" s="398" t="s">
        <v>1166</v>
      </c>
      <c r="C36" s="399" t="s">
        <v>1165</v>
      </c>
      <c r="D36" s="400" t="s">
        <v>1477</v>
      </c>
      <c r="E36" s="401" t="s">
        <v>39</v>
      </c>
      <c r="F36" s="243"/>
      <c r="G36" s="243"/>
      <c r="H36" s="243"/>
      <c r="I36" s="248"/>
      <c r="J36" s="396">
        <f>IFERROR(INDEX(EF!$C$40:$C$49,MATCH("fuelolie",EF!$A$40:$A$49,0)),0)</f>
        <v>0.28474081914867888</v>
      </c>
      <c r="K36" s="397">
        <f>IFERROR(INDEX(EF!$E$40:$E$49,MATCH("fuelolie",EF!$A$40:$A$49,0)),0)</f>
        <v>0.28468468468468466</v>
      </c>
      <c r="L36" s="397">
        <f>IFERROR(INDEX(EF!$G$40:$G$49,MATCH("fuelolie",EF!$A$40:$A$49,0)),0)</f>
        <v>0.28468468468468466</v>
      </c>
      <c r="M36" s="397">
        <f>IFERROR(INDEX(EF!$I$40:$I$49,MATCH("fuelolie",EF!$A$40:$A$49,0)),0)</f>
        <v>0.28468468468468466</v>
      </c>
      <c r="N36" s="392" t="s">
        <v>42</v>
      </c>
      <c r="O36" s="104"/>
      <c r="P36" s="383"/>
      <c r="R36" s="383"/>
      <c r="S36" s="383"/>
      <c r="T36" s="383"/>
      <c r="U36" s="383"/>
      <c r="V36" s="383"/>
      <c r="W36" s="383"/>
      <c r="X36" s="383"/>
      <c r="Y36" s="383"/>
      <c r="Z36" s="383"/>
      <c r="AA36" s="383"/>
    </row>
    <row r="37" spans="1:27" ht="45" customHeight="1" x14ac:dyDescent="0.35">
      <c r="B37" s="393" t="s">
        <v>144</v>
      </c>
      <c r="C37" s="390" t="s">
        <v>52</v>
      </c>
      <c r="D37" s="385" t="s">
        <v>53</v>
      </c>
      <c r="E37" s="395" t="s">
        <v>39</v>
      </c>
      <c r="F37" s="240">
        <f>IF(ISNUMBER(INDEX('Data SPV rens'!$R$5:$R$110,MATCH($C$2,'Data SPV rens'!$A$5:$A$110,0))),INDEX('Data SPV rens'!$R$5:$R$110,MATCH($C$2,'Data SPV rens'!$A$5:$A$110,0)),0)</f>
        <v>0</v>
      </c>
      <c r="G37" s="86"/>
      <c r="H37" s="86"/>
      <c r="I37" s="98"/>
      <c r="J37" s="212" t="s">
        <v>145</v>
      </c>
      <c r="K37" s="402">
        <f>IF(ISNUMBER(J37),J37,0)</f>
        <v>0</v>
      </c>
      <c r="L37" s="402">
        <f t="shared" ref="L37:M37" si="2">IF(ISNUMBER(K37),K37,"")</f>
        <v>0</v>
      </c>
      <c r="M37" s="402">
        <f t="shared" si="2"/>
        <v>0</v>
      </c>
      <c r="N37" s="392" t="s">
        <v>42</v>
      </c>
      <c r="O37" s="105" t="s">
        <v>55</v>
      </c>
      <c r="P37" s="383"/>
      <c r="R37" s="383"/>
      <c r="S37" s="383"/>
      <c r="T37" s="383"/>
      <c r="U37" s="383"/>
      <c r="V37" s="383"/>
      <c r="W37" s="383"/>
      <c r="X37" s="383"/>
      <c r="Y37" s="383"/>
      <c r="Z37" s="383"/>
      <c r="AA37" s="383"/>
    </row>
    <row r="38" spans="1:27" ht="45" customHeight="1" x14ac:dyDescent="0.35">
      <c r="B38" s="393" t="s">
        <v>146</v>
      </c>
      <c r="C38" s="390" t="s">
        <v>56</v>
      </c>
      <c r="D38" s="400" t="s">
        <v>1514</v>
      </c>
      <c r="E38" s="395" t="s">
        <v>39</v>
      </c>
      <c r="F38" s="240">
        <f>IF(ISNUMBER(INDEX('Data SPV rens'!$S$5:$S$110,MATCH($C$2,'Data SPV rens'!$A$5:$A$110,0))),INDEX('Data SPV rens'!$S$5:$S$110,MATCH($C$2,'Data SPV rens'!$A$5:$A$110,0)),SUM(F39:F41))</f>
        <v>0</v>
      </c>
      <c r="G38" s="241">
        <f>SUM(G39:G41)</f>
        <v>0</v>
      </c>
      <c r="H38" s="241">
        <f t="shared" ref="H38:I38" si="3">SUM(H39:H41)</f>
        <v>0</v>
      </c>
      <c r="I38" s="246">
        <f t="shared" si="3"/>
        <v>0</v>
      </c>
      <c r="J38" s="919" t="s">
        <v>1358</v>
      </c>
      <c r="K38" s="920"/>
      <c r="L38" s="920"/>
      <c r="M38" s="920"/>
      <c r="N38" s="921"/>
      <c r="O38" s="104"/>
      <c r="P38" s="383"/>
      <c r="R38" s="383"/>
      <c r="S38" s="383"/>
      <c r="T38" s="383"/>
      <c r="U38" s="383"/>
      <c r="V38" s="383"/>
      <c r="W38" s="383"/>
      <c r="X38" s="383"/>
      <c r="Y38" s="383"/>
      <c r="Z38" s="383"/>
      <c r="AA38" s="383"/>
    </row>
    <row r="39" spans="1:27" ht="45" customHeight="1" x14ac:dyDescent="0.35">
      <c r="B39" s="398" t="s">
        <v>57</v>
      </c>
      <c r="C39" s="399" t="s">
        <v>58</v>
      </c>
      <c r="D39" s="400" t="s">
        <v>1478</v>
      </c>
      <c r="E39" s="385" t="s">
        <v>39</v>
      </c>
      <c r="F39" s="86"/>
      <c r="G39" s="86"/>
      <c r="H39" s="86"/>
      <c r="I39" s="98"/>
      <c r="J39" s="396">
        <f>IFERROR(INDEX(EF!$C$40:$C$49,MATCH("træpiller",EF!$A$40:$A$49,0)),"")</f>
        <v>4.2345679012345677E-3</v>
      </c>
      <c r="K39" s="397">
        <f>IFERROR(INDEX(EF!$E$40:$E$49,MATCH("træpiller",EF!$A$40:$A$49,0)),"")</f>
        <v>4.2386831275720164E-3</v>
      </c>
      <c r="L39" s="397">
        <f>IFERROR(INDEX(EF!$G$40:$G$49,MATCH("træpiller",EF!$A$40:$A$49,0)),"")</f>
        <v>4.2386831275720164E-3</v>
      </c>
      <c r="M39" s="397">
        <f>IFERROR(INDEX(EF!$I$40:$I$49,MATCH("træpiller",EF!$A$40:$A$49,0)),"")</f>
        <v>4.2386831275720164E-3</v>
      </c>
      <c r="N39" s="392" t="s">
        <v>42</v>
      </c>
      <c r="O39" s="104"/>
      <c r="P39" s="383"/>
      <c r="R39" s="383"/>
      <c r="S39" s="383"/>
      <c r="T39" s="383"/>
      <c r="U39" s="383"/>
      <c r="V39" s="383"/>
      <c r="W39" s="383"/>
      <c r="X39" s="383"/>
      <c r="Y39" s="383"/>
      <c r="Z39" s="383"/>
      <c r="AA39" s="383"/>
    </row>
    <row r="40" spans="1:27" ht="45" customHeight="1" x14ac:dyDescent="0.35">
      <c r="B40" s="398" t="s">
        <v>60</v>
      </c>
      <c r="C40" s="399" t="s">
        <v>61</v>
      </c>
      <c r="D40" s="400" t="s">
        <v>1479</v>
      </c>
      <c r="E40" s="395" t="s">
        <v>39</v>
      </c>
      <c r="F40" s="86"/>
      <c r="G40" s="86"/>
      <c r="H40" s="86"/>
      <c r="I40" s="98"/>
      <c r="J40" s="396">
        <f>IFERROR(INDEX(EF!$C$40:$C$49,MATCH("træflis",EF!$A$40:$A$49,0)),"")</f>
        <v>6.4311591695501739E-3</v>
      </c>
      <c r="K40" s="397">
        <f>IFERROR(INDEX(EF!$E$40:$E$49,MATCH("træflis",EF!$A$40:$A$49,0)),"")</f>
        <v>6.4359861591695502E-3</v>
      </c>
      <c r="L40" s="397">
        <f>IFERROR(INDEX(EF!$G$40:$G$49,MATCH("træflis",EF!$A$40:$A$49,0)),"")</f>
        <v>6.4359861591695502E-3</v>
      </c>
      <c r="M40" s="397">
        <f>IFERROR(INDEX(EF!$I$40:$I$49,MATCH("træflis",EF!$A$40:$A$49,0)),"")</f>
        <v>6.4359861591695502E-3</v>
      </c>
      <c r="N40" s="392" t="s">
        <v>42</v>
      </c>
      <c r="O40" s="104"/>
      <c r="P40" s="383"/>
      <c r="R40" s="383"/>
      <c r="S40" s="383"/>
      <c r="T40" s="383"/>
      <c r="U40" s="383"/>
      <c r="V40" s="383"/>
      <c r="W40" s="383"/>
      <c r="X40" s="383"/>
      <c r="Y40" s="383"/>
      <c r="Z40" s="383"/>
      <c r="AA40" s="383"/>
    </row>
    <row r="41" spans="1:27" ht="45" customHeight="1" thickBot="1" x14ac:dyDescent="0.4">
      <c r="B41" s="398" t="s">
        <v>63</v>
      </c>
      <c r="C41" s="404" t="s">
        <v>64</v>
      </c>
      <c r="D41" s="405" t="s">
        <v>1480</v>
      </c>
      <c r="E41" s="380" t="s">
        <v>39</v>
      </c>
      <c r="F41" s="218"/>
      <c r="G41" s="218"/>
      <c r="H41" s="218"/>
      <c r="I41" s="219"/>
      <c r="J41" s="406">
        <f>IFERROR(INDEX(EF!$C$40:$C$49,MATCH("halm",EF!$A$40:$A$49,0)),"")</f>
        <v>6.951364764267989E-3</v>
      </c>
      <c r="K41" s="407">
        <f>IFERROR(INDEX(EF!$E$40:$E$49,MATCH("halm",EF!$A$40:$A$49,0)),"")</f>
        <v>6.9478908188585599E-3</v>
      </c>
      <c r="L41" s="407">
        <f>IFERROR(INDEX(EF!$G$40:$G$49,MATCH("halm",EF!$A$40:$A$49,0)),"")</f>
        <v>6.9478908188585599E-3</v>
      </c>
      <c r="M41" s="407">
        <f>IFERROR(INDEX(EF!$I$40:$I$49,MATCH("halm",EF!$A$40:$A$49,0)),"")</f>
        <v>6.9478908188585599E-3</v>
      </c>
      <c r="N41" s="408" t="s">
        <v>42</v>
      </c>
      <c r="O41" s="108"/>
      <c r="P41" s="383"/>
      <c r="R41" s="383"/>
      <c r="S41" s="383"/>
      <c r="T41" s="383"/>
      <c r="U41" s="383"/>
      <c r="V41" s="383"/>
      <c r="W41" s="383"/>
      <c r="X41" s="383"/>
      <c r="Y41" s="383"/>
      <c r="Z41" s="383"/>
      <c r="AA41" s="383"/>
    </row>
    <row r="42" spans="1:27" ht="45" customHeight="1" x14ac:dyDescent="0.35">
      <c r="B42" s="383"/>
      <c r="C42" s="409" t="s">
        <v>148</v>
      </c>
      <c r="D42" s="410"/>
      <c r="E42" s="411">
        <f>EF!C53</f>
        <v>4.7868065418002384E-2</v>
      </c>
      <c r="F42" s="412" t="s">
        <v>149</v>
      </c>
      <c r="H42" s="383"/>
      <c r="I42" s="383"/>
      <c r="J42" s="413"/>
      <c r="K42" s="413"/>
      <c r="L42" s="413"/>
      <c r="M42" s="413"/>
      <c r="O42" s="414"/>
      <c r="P42" s="383"/>
      <c r="R42" s="383"/>
      <c r="S42" s="383"/>
      <c r="T42" s="383"/>
      <c r="U42" s="383"/>
      <c r="V42" s="383"/>
      <c r="W42" s="383"/>
      <c r="X42" s="383"/>
      <c r="Y42" s="383"/>
      <c r="Z42" s="383"/>
      <c r="AA42" s="383"/>
    </row>
    <row r="43" spans="1:27" ht="45" customHeight="1" thickBot="1" x14ac:dyDescent="0.4">
      <c r="B43" s="383"/>
      <c r="C43" s="415"/>
      <c r="D43" s="415"/>
      <c r="E43" s="383"/>
      <c r="F43" s="383"/>
      <c r="G43" s="383"/>
      <c r="H43" s="383"/>
      <c r="I43" s="383"/>
      <c r="J43" s="413"/>
      <c r="K43" s="413"/>
      <c r="L43" s="413"/>
      <c r="M43" s="413"/>
      <c r="O43" s="414"/>
      <c r="P43" s="383"/>
      <c r="R43" s="383"/>
      <c r="S43" s="383"/>
      <c r="T43" s="383"/>
      <c r="U43" s="383"/>
      <c r="V43" s="383"/>
      <c r="W43" s="383"/>
      <c r="X43" s="383"/>
      <c r="Y43" s="383"/>
      <c r="Z43" s="383"/>
      <c r="AA43" s="383"/>
    </row>
    <row r="44" spans="1:27" ht="45" customHeight="1" thickBot="1" x14ac:dyDescent="0.55000000000000004">
      <c r="B44" s="383"/>
      <c r="C44" s="362" t="s">
        <v>150</v>
      </c>
      <c r="D44" s="363"/>
      <c r="E44" s="364"/>
      <c r="F44" s="364"/>
      <c r="G44" s="364"/>
      <c r="H44" s="364"/>
      <c r="I44" s="364"/>
      <c r="J44" s="417"/>
      <c r="K44" s="417"/>
      <c r="L44" s="418"/>
      <c r="M44" s="418"/>
      <c r="N44" s="419"/>
      <c r="O44" s="366" t="s">
        <v>1451</v>
      </c>
      <c r="Q44" s="383"/>
      <c r="R44" s="383"/>
      <c r="S44" s="383"/>
      <c r="T44" s="383"/>
      <c r="U44" s="383"/>
      <c r="V44" s="383"/>
      <c r="W44" s="383"/>
      <c r="X44" s="383"/>
      <c r="Y44" s="383"/>
      <c r="Z44" s="383"/>
      <c r="AA44" s="383"/>
    </row>
    <row r="45" spans="1:27" ht="45" customHeight="1" x14ac:dyDescent="0.35">
      <c r="B45" s="383"/>
      <c r="C45" s="902" t="s">
        <v>151</v>
      </c>
      <c r="D45" s="903"/>
      <c r="E45" s="904"/>
      <c r="F45" s="420" t="s">
        <v>32</v>
      </c>
      <c r="G45" s="421"/>
      <c r="H45" s="422" t="s">
        <v>33</v>
      </c>
      <c r="I45" s="422"/>
      <c r="J45" s="908" t="s">
        <v>34</v>
      </c>
      <c r="K45" s="909"/>
      <c r="L45" s="909"/>
      <c r="M45" s="909"/>
      <c r="N45" s="910"/>
      <c r="O45" s="423" t="s">
        <v>36</v>
      </c>
      <c r="Q45" s="383"/>
    </row>
    <row r="46" spans="1:27" ht="45" customHeight="1" x14ac:dyDescent="0.35">
      <c r="B46" s="383"/>
      <c r="C46" s="468"/>
      <c r="D46" s="457"/>
      <c r="E46" s="458"/>
      <c r="F46" s="424">
        <v>2023</v>
      </c>
      <c r="G46" s="425">
        <v>2025</v>
      </c>
      <c r="H46" s="425">
        <f t="shared" ref="H46:I46" si="4">G46+5</f>
        <v>2030</v>
      </c>
      <c r="I46" s="426">
        <f t="shared" si="4"/>
        <v>2035</v>
      </c>
      <c r="J46" s="374">
        <v>2023</v>
      </c>
      <c r="K46" s="375">
        <v>2025</v>
      </c>
      <c r="L46" s="375">
        <v>2030</v>
      </c>
      <c r="M46" s="375">
        <v>2035</v>
      </c>
      <c r="N46" s="525" t="s">
        <v>35</v>
      </c>
      <c r="O46" s="377"/>
      <c r="Q46" s="383"/>
    </row>
    <row r="47" spans="1:27" ht="45" customHeight="1" thickBot="1" x14ac:dyDescent="0.4">
      <c r="B47" s="383"/>
      <c r="C47" s="378" t="s">
        <v>152</v>
      </c>
      <c r="D47" s="495" t="s">
        <v>153</v>
      </c>
      <c r="E47" s="380" t="s">
        <v>154</v>
      </c>
      <c r="F47" s="216">
        <f>IF(ISNUMBER(INDEX('Data SPV rens'!$AA$5:$AA$109,MATCH($C$2,'Data SPV rens'!$A$5:$A$109,0))),INDEX('Data SPV rens'!$AA$5:$AA$109,MATCH($C$2,'Data SPV rens'!$A$5:$A$109,0)),0)</f>
        <v>0</v>
      </c>
      <c r="G47" s="218"/>
      <c r="H47" s="218"/>
      <c r="I47" s="219"/>
      <c r="J47" s="469">
        <f>EF!C61</f>
        <v>2.1000000000000001E-2</v>
      </c>
      <c r="K47" s="470">
        <f>EF!D61</f>
        <v>2.1000000000000001E-2</v>
      </c>
      <c r="L47" s="470">
        <f>EF!E61</f>
        <v>2.1000000000000001E-2</v>
      </c>
      <c r="M47" s="470">
        <f>EF!F61</f>
        <v>2.1000000000000001E-2</v>
      </c>
      <c r="N47" s="475" t="s">
        <v>155</v>
      </c>
      <c r="O47" s="106"/>
      <c r="Q47" s="383"/>
      <c r="R47" s="383"/>
      <c r="S47" s="383"/>
      <c r="T47" s="383"/>
      <c r="U47" s="383"/>
      <c r="V47" s="383"/>
      <c r="W47" s="383"/>
      <c r="X47" s="383"/>
      <c r="Y47" s="383"/>
      <c r="Z47" s="383"/>
      <c r="AA47" s="383"/>
    </row>
    <row r="48" spans="1:27" ht="45" customHeight="1" x14ac:dyDescent="0.35">
      <c r="O48" s="120"/>
      <c r="Q48" s="383"/>
      <c r="R48" s="383"/>
      <c r="S48" s="383"/>
      <c r="T48" s="383"/>
      <c r="U48" s="383"/>
      <c r="V48" s="383"/>
      <c r="W48" s="383"/>
      <c r="X48" s="383"/>
      <c r="Y48" s="383"/>
      <c r="Z48" s="383"/>
      <c r="AA48" s="383"/>
    </row>
    <row r="49" spans="2:27" ht="45" customHeight="1" thickBot="1" x14ac:dyDescent="0.4">
      <c r="C49" s="3"/>
      <c r="O49" s="120"/>
      <c r="Q49" s="383"/>
      <c r="R49" s="383"/>
      <c r="S49" s="383"/>
      <c r="T49" s="383"/>
      <c r="U49" s="383"/>
      <c r="V49" s="383"/>
      <c r="W49" s="383"/>
      <c r="X49" s="383"/>
      <c r="Y49" s="383"/>
      <c r="Z49" s="383"/>
      <c r="AA49" s="383"/>
    </row>
    <row r="50" spans="2:27" ht="45" customHeight="1" thickBot="1" x14ac:dyDescent="0.55000000000000004">
      <c r="B50" s="383"/>
      <c r="C50" s="362" t="s">
        <v>156</v>
      </c>
      <c r="D50" s="363"/>
      <c r="E50" s="364"/>
      <c r="F50" s="364"/>
      <c r="G50" s="364"/>
      <c r="H50" s="364"/>
      <c r="I50" s="364"/>
      <c r="J50" s="417"/>
      <c r="K50" s="417"/>
      <c r="L50" s="418"/>
      <c r="M50" s="418"/>
      <c r="N50" s="419"/>
      <c r="O50" s="366" t="s">
        <v>1452</v>
      </c>
      <c r="Q50" s="383"/>
      <c r="R50" s="383"/>
      <c r="S50" s="383"/>
      <c r="T50" s="383"/>
      <c r="U50" s="383"/>
      <c r="V50" s="383"/>
      <c r="W50" s="383"/>
      <c r="X50" s="383"/>
      <c r="Y50" s="383"/>
      <c r="Z50" s="383"/>
      <c r="AA50" s="383"/>
    </row>
    <row r="51" spans="2:27" ht="45" customHeight="1" x14ac:dyDescent="0.35">
      <c r="B51" s="383"/>
      <c r="C51" s="902" t="s">
        <v>157</v>
      </c>
      <c r="D51" s="903"/>
      <c r="E51" s="904"/>
      <c r="F51" s="420" t="s">
        <v>32</v>
      </c>
      <c r="G51" s="421"/>
      <c r="H51" s="422" t="s">
        <v>33</v>
      </c>
      <c r="I51" s="422"/>
      <c r="J51" s="908" t="s">
        <v>34</v>
      </c>
      <c r="K51" s="909"/>
      <c r="L51" s="909"/>
      <c r="M51" s="909"/>
      <c r="N51" s="910"/>
      <c r="O51" s="438" t="s">
        <v>36</v>
      </c>
      <c r="Q51" s="383"/>
    </row>
    <row r="52" spans="2:27" ht="45" customHeight="1" x14ac:dyDescent="0.35">
      <c r="B52" s="383"/>
      <c r="C52" s="905" t="s">
        <v>1486</v>
      </c>
      <c r="D52" s="906"/>
      <c r="E52" s="907"/>
      <c r="F52" s="424">
        <v>2023</v>
      </c>
      <c r="G52" s="372">
        <v>2025</v>
      </c>
      <c r="H52" s="372">
        <f t="shared" ref="H52:I52" si="5">G52+5</f>
        <v>2030</v>
      </c>
      <c r="I52" s="424">
        <f t="shared" si="5"/>
        <v>2035</v>
      </c>
      <c r="J52" s="526">
        <v>2023</v>
      </c>
      <c r="K52" s="527">
        <v>2025</v>
      </c>
      <c r="L52" s="527">
        <v>2030</v>
      </c>
      <c r="M52" s="527">
        <v>2035</v>
      </c>
      <c r="N52" s="528" t="s">
        <v>35</v>
      </c>
      <c r="O52" s="529"/>
      <c r="Q52" s="383"/>
    </row>
    <row r="53" spans="2:27" ht="45" customHeight="1" x14ac:dyDescent="0.35">
      <c r="C53" s="431" t="s">
        <v>161</v>
      </c>
      <c r="D53" s="400" t="s">
        <v>1261</v>
      </c>
      <c r="E53" s="385" t="s">
        <v>162</v>
      </c>
      <c r="F53" s="214">
        <f>IF(ISNUMBER(INDEX('Data SPV rens'!$W$5:$W$109,MATCH(Renseanlæg!$C$2,'Data SPV rens'!$A$5:$A$109,0))),INDEX('Data SPV rens'!$W$5:$W$109,MATCH(Renseanlæg!$C$2,'Data SPV rens'!$A$5:$A$109,0)),0)</f>
        <v>0</v>
      </c>
      <c r="G53" s="86"/>
      <c r="H53" s="86"/>
      <c r="I53" s="98"/>
      <c r="J53" s="922" t="s">
        <v>1367</v>
      </c>
      <c r="K53" s="923"/>
      <c r="L53" s="923"/>
      <c r="M53" s="923"/>
      <c r="N53" s="924"/>
      <c r="O53" s="111"/>
      <c r="Q53" s="383"/>
      <c r="R53" s="383"/>
      <c r="S53" s="383"/>
      <c r="T53" s="383"/>
      <c r="U53" s="383"/>
      <c r="V53" s="383"/>
      <c r="W53" s="383"/>
      <c r="X53" s="383"/>
      <c r="Y53" s="383"/>
      <c r="Z53" s="383"/>
      <c r="AA53" s="383"/>
    </row>
    <row r="54" spans="2:27" ht="45" customHeight="1" x14ac:dyDescent="0.35">
      <c r="B54" s="3"/>
      <c r="C54" s="530" t="s">
        <v>158</v>
      </c>
      <c r="D54" s="531" t="s">
        <v>1183</v>
      </c>
      <c r="E54" s="395" t="s">
        <v>159</v>
      </c>
      <c r="F54" s="532">
        <v>0.84</v>
      </c>
      <c r="G54" s="532">
        <v>0.84</v>
      </c>
      <c r="H54" s="532">
        <v>0.56000000000000005</v>
      </c>
      <c r="I54" s="533">
        <v>0.56000000000000005</v>
      </c>
      <c r="J54" s="534">
        <f>F54/100*44/28*EF!$B$4</f>
        <v>3.6036000000000001</v>
      </c>
      <c r="K54" s="535">
        <f>G54/100*44/28*EF!$B$4</f>
        <v>3.6036000000000001</v>
      </c>
      <c r="L54" s="535">
        <f>H54/100*44/28*EF!$B$4</f>
        <v>2.4024000000000001</v>
      </c>
      <c r="M54" s="535">
        <f>I54/100*44/28*EF!$B$4</f>
        <v>2.4024000000000001</v>
      </c>
      <c r="N54" s="536" t="s">
        <v>160</v>
      </c>
      <c r="O54" s="103" t="s">
        <v>1184</v>
      </c>
      <c r="R54" s="383"/>
      <c r="S54" s="383"/>
      <c r="T54" s="383"/>
      <c r="U54" s="383"/>
      <c r="V54" s="383"/>
      <c r="W54" s="383"/>
      <c r="X54" s="383"/>
      <c r="Y54" s="383"/>
      <c r="Z54" s="383"/>
      <c r="AA54" s="383"/>
    </row>
    <row r="55" spans="2:27" ht="45" customHeight="1" thickBot="1" x14ac:dyDescent="0.4">
      <c r="B55" s="196"/>
      <c r="C55" s="378" t="s">
        <v>1349</v>
      </c>
      <c r="D55" s="405" t="s">
        <v>1297</v>
      </c>
      <c r="E55" s="380" t="s">
        <v>159</v>
      </c>
      <c r="F55" s="252"/>
      <c r="G55" s="252"/>
      <c r="H55" s="252"/>
      <c r="I55" s="253"/>
      <c r="J55" s="254" t="str">
        <f>IF(ISNUMBER(F55),F55/100*44/28*EF!$B$4,"")</f>
        <v/>
      </c>
      <c r="K55" s="255" t="str">
        <f>IF(ISNUMBER(G55),G55/100*44/28*EF!$B$4,"")</f>
        <v/>
      </c>
      <c r="L55" s="255" t="str">
        <f>IF(ISNUMBER(H55),H55/100*44/28*EF!$B$4,"")</f>
        <v/>
      </c>
      <c r="M55" s="255" t="str">
        <f>IF(ISNUMBER(I55),I55/100*44/28*EF!$B$4,"")</f>
        <v/>
      </c>
      <c r="N55" s="433" t="s">
        <v>160</v>
      </c>
      <c r="O55" s="112"/>
      <c r="R55" s="383"/>
      <c r="S55" s="383"/>
      <c r="T55" s="383"/>
      <c r="U55" s="383"/>
      <c r="V55" s="383"/>
      <c r="W55" s="383"/>
      <c r="X55" s="383"/>
      <c r="Y55" s="383"/>
      <c r="Z55" s="383"/>
      <c r="AA55" s="383"/>
    </row>
    <row r="56" spans="2:27" ht="45" customHeight="1" x14ac:dyDescent="0.35">
      <c r="O56" s="120"/>
      <c r="Q56" s="383"/>
      <c r="R56" s="383"/>
      <c r="S56" s="383"/>
      <c r="T56" s="383"/>
      <c r="U56" s="383"/>
      <c r="V56" s="383"/>
      <c r="W56" s="383"/>
      <c r="X56" s="383"/>
      <c r="Y56" s="383"/>
      <c r="Z56" s="383"/>
      <c r="AA56" s="383"/>
    </row>
    <row r="57" spans="2:27" ht="45" customHeight="1" thickBot="1" x14ac:dyDescent="0.4">
      <c r="O57" s="120"/>
      <c r="Q57" s="383"/>
      <c r="R57" s="383"/>
      <c r="S57" s="383"/>
      <c r="T57" s="383"/>
      <c r="U57" s="383"/>
      <c r="V57" s="383"/>
      <c r="W57" s="383"/>
      <c r="X57" s="383"/>
      <c r="Y57" s="383"/>
      <c r="Z57" s="383"/>
      <c r="AA57" s="383"/>
    </row>
    <row r="58" spans="2:27" ht="45" customHeight="1" thickBot="1" x14ac:dyDescent="0.55000000000000004">
      <c r="B58" s="383"/>
      <c r="C58" s="362" t="s">
        <v>163</v>
      </c>
      <c r="D58" s="363"/>
      <c r="E58" s="364"/>
      <c r="F58" s="364"/>
      <c r="G58" s="364"/>
      <c r="H58" s="364"/>
      <c r="I58" s="364"/>
      <c r="J58" s="417"/>
      <c r="K58" s="417"/>
      <c r="L58" s="418"/>
      <c r="M58" s="418"/>
      <c r="N58" s="537"/>
      <c r="O58" s="366" t="s">
        <v>1453</v>
      </c>
      <c r="Q58" s="383"/>
      <c r="X58" s="383"/>
      <c r="Y58" s="383"/>
      <c r="Z58" s="383"/>
      <c r="AA58" s="383"/>
    </row>
    <row r="59" spans="2:27" ht="45" customHeight="1" x14ac:dyDescent="0.35">
      <c r="B59" s="383"/>
      <c r="C59" s="902" t="s">
        <v>164</v>
      </c>
      <c r="D59" s="903"/>
      <c r="E59" s="904"/>
      <c r="F59" s="420" t="s">
        <v>32</v>
      </c>
      <c r="G59" s="421"/>
      <c r="H59" s="422" t="s">
        <v>33</v>
      </c>
      <c r="I59" s="422"/>
      <c r="J59" s="908" t="s">
        <v>34</v>
      </c>
      <c r="K59" s="909"/>
      <c r="L59" s="909"/>
      <c r="M59" s="909"/>
      <c r="N59" s="910"/>
      <c r="O59" s="438" t="s">
        <v>36</v>
      </c>
      <c r="Q59" s="383"/>
      <c r="R59" s="122"/>
      <c r="S59" s="122"/>
      <c r="X59" s="383"/>
      <c r="Y59" s="383"/>
      <c r="Z59" s="383"/>
      <c r="AA59" s="383"/>
    </row>
    <row r="60" spans="2:27" ht="45" customHeight="1" x14ac:dyDescent="0.35">
      <c r="B60" s="383"/>
      <c r="C60" s="905" t="s">
        <v>1487</v>
      </c>
      <c r="D60" s="906"/>
      <c r="E60" s="907"/>
      <c r="F60" s="424">
        <v>2023</v>
      </c>
      <c r="G60" s="425">
        <v>2025</v>
      </c>
      <c r="H60" s="425">
        <f t="shared" ref="H60:I60" si="6">G60+5</f>
        <v>2030</v>
      </c>
      <c r="I60" s="426">
        <f t="shared" si="6"/>
        <v>2035</v>
      </c>
      <c r="J60" s="526">
        <v>2023</v>
      </c>
      <c r="K60" s="527">
        <v>2025</v>
      </c>
      <c r="L60" s="527">
        <v>2030</v>
      </c>
      <c r="M60" s="527">
        <v>2035</v>
      </c>
      <c r="N60" s="528" t="s">
        <v>35</v>
      </c>
      <c r="O60" s="440"/>
      <c r="R60" s="122"/>
      <c r="S60" s="122"/>
      <c r="X60" s="383"/>
      <c r="Y60" s="383"/>
      <c r="Z60" s="383"/>
      <c r="AA60" s="383"/>
    </row>
    <row r="61" spans="2:27" ht="45" customHeight="1" x14ac:dyDescent="0.35">
      <c r="C61" s="431" t="s">
        <v>168</v>
      </c>
      <c r="D61" s="401" t="s">
        <v>169</v>
      </c>
      <c r="E61" s="385" t="s">
        <v>170</v>
      </c>
      <c r="F61" s="214">
        <f>IF(ISNUMBER(INDEX('Data SPV rens'!AB5:AB109,MATCH(C2,'Data SPV rens'!A5:A109,0))),INDEX('Data SPV rens'!AB5:AB109,MATCH(C2,'Data SPV rens'!A5:A109,0)),0)</f>
        <v>0</v>
      </c>
      <c r="G61" s="86"/>
      <c r="H61" s="86"/>
      <c r="I61" s="98"/>
      <c r="J61" s="922" t="s">
        <v>1367</v>
      </c>
      <c r="K61" s="923"/>
      <c r="L61" s="923"/>
      <c r="M61" s="923"/>
      <c r="N61" s="924"/>
      <c r="O61" s="104"/>
      <c r="R61" s="124"/>
      <c r="S61" s="124"/>
      <c r="X61" s="383"/>
      <c r="Y61" s="383"/>
      <c r="Z61" s="383"/>
      <c r="AA61" s="383"/>
    </row>
    <row r="62" spans="2:27" ht="45" customHeight="1" x14ac:dyDescent="0.65">
      <c r="B62" s="383"/>
      <c r="C62" s="431" t="s">
        <v>171</v>
      </c>
      <c r="D62" s="401" t="s">
        <v>1362</v>
      </c>
      <c r="E62" s="385" t="s">
        <v>170</v>
      </c>
      <c r="F62" s="256">
        <f>F61*EF!$F$4</f>
        <v>0</v>
      </c>
      <c r="G62" s="256">
        <f>G61*EF!$F$4</f>
        <v>0</v>
      </c>
      <c r="H62" s="256">
        <f>H61*EF!$F$4</f>
        <v>0</v>
      </c>
      <c r="I62" s="257">
        <f>I61*EF!$F$4</f>
        <v>0</v>
      </c>
      <c r="J62" s="922" t="s">
        <v>1367</v>
      </c>
      <c r="K62" s="923"/>
      <c r="L62" s="923"/>
      <c r="M62" s="923"/>
      <c r="N62" s="924"/>
      <c r="O62" s="107"/>
      <c r="P62" s="538"/>
      <c r="Q62" s="383"/>
      <c r="R62" s="124"/>
      <c r="S62" s="124"/>
      <c r="X62" s="383"/>
      <c r="Y62" s="383"/>
      <c r="Z62" s="383"/>
      <c r="AA62" s="383"/>
    </row>
    <row r="63" spans="2:27" ht="45" customHeight="1" x14ac:dyDescent="0.35">
      <c r="B63" s="383"/>
      <c r="C63" s="530" t="s">
        <v>165</v>
      </c>
      <c r="D63" s="531" t="s">
        <v>1185</v>
      </c>
      <c r="E63" s="395" t="s">
        <v>166</v>
      </c>
      <c r="F63" s="535">
        <v>6.9</v>
      </c>
      <c r="G63" s="535">
        <v>6.9</v>
      </c>
      <c r="H63" s="535">
        <v>1</v>
      </c>
      <c r="I63" s="539">
        <v>1</v>
      </c>
      <c r="J63" s="760">
        <f>F63/100*EF!$F$3*EF!$B$3</f>
        <v>1.3910400000000001</v>
      </c>
      <c r="K63" s="761">
        <f>G63/100*EF!$F$3*EF!$B$3</f>
        <v>1.3910400000000001</v>
      </c>
      <c r="L63" s="761">
        <f>H63/100*EF!$F$3*EF!$B$3</f>
        <v>0.2016</v>
      </c>
      <c r="M63" s="761">
        <f>I63/100*EF!$F$3*EF!$B$3</f>
        <v>0.2016</v>
      </c>
      <c r="N63" s="536" t="s">
        <v>167</v>
      </c>
      <c r="O63" s="103"/>
      <c r="Q63" s="383"/>
      <c r="R63" s="383"/>
      <c r="S63" s="383"/>
      <c r="T63" s="383"/>
      <c r="U63" s="383"/>
      <c r="V63" s="383"/>
      <c r="W63" s="383"/>
      <c r="X63" s="383"/>
      <c r="Y63" s="383"/>
      <c r="Z63" s="383"/>
      <c r="AA63" s="383"/>
    </row>
    <row r="64" spans="2:27" ht="45" customHeight="1" thickBot="1" x14ac:dyDescent="0.4">
      <c r="B64" s="383"/>
      <c r="C64" s="378" t="s">
        <v>1348</v>
      </c>
      <c r="D64" s="405" t="s">
        <v>1298</v>
      </c>
      <c r="E64" s="380" t="s">
        <v>166</v>
      </c>
      <c r="F64" s="236"/>
      <c r="G64" s="236"/>
      <c r="H64" s="236"/>
      <c r="I64" s="237"/>
      <c r="J64" s="254" t="str">
        <f>IF(ISNUMBER(F64),F64/100*EF!$F$3*EF!$B$3,"")</f>
        <v/>
      </c>
      <c r="K64" s="255" t="str">
        <f>IF(ISNUMBER(G64),G64/100*EF!$F$3*EF!$B$3,"")</f>
        <v/>
      </c>
      <c r="L64" s="255" t="str">
        <f>IF(ISNUMBER(H64),H64/100*EF!$F$3*EF!$B$3,"")</f>
        <v/>
      </c>
      <c r="M64" s="255" t="str">
        <f>IF(ISNUMBER(I64),I64/100*EF!$F$3*EF!$B$3,"")</f>
        <v/>
      </c>
      <c r="N64" s="759" t="s">
        <v>167</v>
      </c>
      <c r="O64" s="108"/>
      <c r="P64" s="383"/>
      <c r="Q64" s="383"/>
      <c r="R64" s="383"/>
      <c r="S64" s="383"/>
      <c r="T64" s="383"/>
      <c r="U64" s="383"/>
      <c r="V64" s="383"/>
      <c r="W64" s="383"/>
      <c r="X64" s="383"/>
      <c r="Y64" s="383"/>
      <c r="Z64" s="383"/>
      <c r="AA64" s="383"/>
    </row>
    <row r="65" spans="1:27" ht="45" customHeight="1" x14ac:dyDescent="0.35">
      <c r="O65" s="120"/>
      <c r="P65" s="383"/>
      <c r="Q65" s="383"/>
      <c r="R65" s="383"/>
      <c r="S65" s="383"/>
      <c r="T65" s="383"/>
      <c r="U65" s="383"/>
      <c r="V65" s="383"/>
      <c r="W65" s="383"/>
      <c r="X65" s="383"/>
      <c r="Y65" s="383"/>
    </row>
    <row r="66" spans="1:27" ht="45" customHeight="1" thickBot="1" x14ac:dyDescent="0.4">
      <c r="O66" s="120"/>
      <c r="R66" s="383"/>
      <c r="S66" s="383"/>
      <c r="T66" s="383"/>
      <c r="U66" s="383"/>
      <c r="V66" s="383"/>
      <c r="W66" s="383"/>
      <c r="X66" s="383"/>
      <c r="Y66" s="383"/>
      <c r="Z66" s="383"/>
      <c r="AA66" s="383"/>
    </row>
    <row r="67" spans="1:27" ht="45" customHeight="1" thickBot="1" x14ac:dyDescent="0.55000000000000004">
      <c r="B67" s="383"/>
      <c r="C67" s="362" t="s">
        <v>76</v>
      </c>
      <c r="D67" s="363"/>
      <c r="E67" s="364"/>
      <c r="F67" s="364"/>
      <c r="G67" s="364"/>
      <c r="H67" s="364"/>
      <c r="I67" s="364"/>
      <c r="J67" s="417"/>
      <c r="K67" s="417"/>
      <c r="L67" s="418"/>
      <c r="M67" s="418"/>
      <c r="N67" s="419"/>
      <c r="O67" s="366" t="s">
        <v>1454</v>
      </c>
      <c r="P67" s="383"/>
      <c r="Q67" s="383"/>
    </row>
    <row r="68" spans="1:27" ht="45" customHeight="1" x14ac:dyDescent="0.35">
      <c r="B68" s="3"/>
      <c r="C68" s="902" t="s">
        <v>77</v>
      </c>
      <c r="D68" s="903"/>
      <c r="E68" s="904"/>
      <c r="F68" s="420" t="s">
        <v>32</v>
      </c>
      <c r="G68" s="421"/>
      <c r="H68" s="422" t="s">
        <v>33</v>
      </c>
      <c r="I68" s="422"/>
      <c r="J68" s="908" t="s">
        <v>34</v>
      </c>
      <c r="K68" s="909"/>
      <c r="L68" s="909"/>
      <c r="M68" s="909"/>
      <c r="N68" s="910"/>
      <c r="O68" s="438" t="s">
        <v>36</v>
      </c>
      <c r="P68" s="383"/>
      <c r="Q68" s="383"/>
    </row>
    <row r="69" spans="1:27" ht="45" customHeight="1" x14ac:dyDescent="0.35">
      <c r="B69" s="296"/>
      <c r="C69" s="905" t="s">
        <v>1300</v>
      </c>
      <c r="D69" s="906"/>
      <c r="E69" s="907"/>
      <c r="F69" s="424">
        <v>2023</v>
      </c>
      <c r="G69" s="425">
        <v>2025</v>
      </c>
      <c r="H69" s="425">
        <f>G69+5</f>
        <v>2030</v>
      </c>
      <c r="I69" s="426">
        <f>H69+5</f>
        <v>2035</v>
      </c>
      <c r="J69" s="374">
        <v>2023</v>
      </c>
      <c r="K69" s="375">
        <v>2025</v>
      </c>
      <c r="L69" s="375">
        <v>2030</v>
      </c>
      <c r="M69" s="375">
        <v>2035</v>
      </c>
      <c r="N69" s="376" t="s">
        <v>35</v>
      </c>
      <c r="O69" s="440"/>
      <c r="P69" s="383"/>
    </row>
    <row r="70" spans="1:27" ht="45" customHeight="1" x14ac:dyDescent="0.35">
      <c r="A70" s="3"/>
      <c r="B70" s="441" t="s">
        <v>78</v>
      </c>
      <c r="C70" s="442" t="s">
        <v>79</v>
      </c>
      <c r="D70" s="401" t="s">
        <v>80</v>
      </c>
      <c r="E70" s="385" t="s">
        <v>81</v>
      </c>
      <c r="F70" s="735" t="s">
        <v>1415</v>
      </c>
      <c r="G70" s="258"/>
      <c r="H70" s="258"/>
      <c r="I70" s="259"/>
      <c r="J70" s="744">
        <f>IFERROR(INDEX(EF!$C$24:$C$33,MATCH(Afløb!$B47,EF!$A$24:$A$33,0)),"")</f>
        <v>2.6911905369127518</v>
      </c>
      <c r="K70" s="745">
        <f>IFERROR(INDEX(EF!$E$24:$E$33,MATCH(Afløb!$B47,EF!$A$24:$A$33,0)),"")</f>
        <v>2.6911905369127518</v>
      </c>
      <c r="L70" s="745">
        <f>IFERROR(INDEX(EF!$G$24:$G$33,MATCH(Afløb!$B47,EF!$A$24:$A$33,0)),"")</f>
        <v>2.6911905369127518</v>
      </c>
      <c r="M70" s="745">
        <f>IFERROR(INDEX(EF!$I$24:$I$33,MATCH(Afløb!$B47,EF!$A$24:$A$33,0)),"")</f>
        <v>2.6911905369127518</v>
      </c>
      <c r="N70" s="445" t="s">
        <v>82</v>
      </c>
      <c r="O70" s="104"/>
      <c r="P70" s="383"/>
      <c r="Q70" s="122"/>
    </row>
    <row r="71" spans="1:27" ht="45" customHeight="1" thickBot="1" x14ac:dyDescent="0.4">
      <c r="A71" s="3"/>
      <c r="B71" s="441" t="s">
        <v>83</v>
      </c>
      <c r="C71" s="446" t="s">
        <v>84</v>
      </c>
      <c r="D71" s="447" t="s">
        <v>80</v>
      </c>
      <c r="E71" s="380" t="s">
        <v>81</v>
      </c>
      <c r="F71" s="736" t="s">
        <v>1416</v>
      </c>
      <c r="G71" s="260"/>
      <c r="H71" s="260"/>
      <c r="I71" s="261"/>
      <c r="J71" s="746">
        <f>IFERROR(INDEX(EF!$C$24:$C$33,MATCH(Afløb!$B48,EF!$A$24:$A$33,0)),"")</f>
        <v>2.4122153463087246</v>
      </c>
      <c r="K71" s="747">
        <f>IFERROR(INDEX(EF!$E$24:$E$33,MATCH(Afløb!$B48,EF!$A$24:$A$33,0)),"")</f>
        <v>2.4122153463087246</v>
      </c>
      <c r="L71" s="747">
        <f>IFERROR(INDEX(EF!$G$24:$G$33,MATCH(Afløb!$B48,EF!$A$24:$A$33,0)),"")</f>
        <v>2.4122153463087246</v>
      </c>
      <c r="M71" s="747">
        <f>IFERROR(INDEX(EF!$I$24:$I$33,MATCH(Afløb!$B48,EF!$A$24:$A$33,0)),"")</f>
        <v>2.4122153463087246</v>
      </c>
      <c r="N71" s="433" t="s">
        <v>82</v>
      </c>
      <c r="O71" s="108"/>
      <c r="P71" s="383"/>
      <c r="Q71" s="122"/>
    </row>
    <row r="72" spans="1:27" ht="45" customHeight="1" x14ac:dyDescent="0.35">
      <c r="B72" s="3"/>
      <c r="C72" s="383"/>
      <c r="D72" s="383"/>
      <c r="E72" s="383"/>
      <c r="F72" s="3"/>
      <c r="G72" s="383"/>
      <c r="H72" s="3"/>
      <c r="I72" s="383"/>
      <c r="J72" s="383"/>
      <c r="K72" s="383"/>
      <c r="L72" s="383"/>
      <c r="M72" s="383"/>
      <c r="O72" s="389"/>
      <c r="P72" s="383"/>
      <c r="Q72" s="124"/>
      <c r="R72" s="453"/>
      <c r="S72" s="453"/>
      <c r="T72" s="453"/>
      <c r="U72" s="453"/>
      <c r="V72" s="453"/>
      <c r="W72" s="453"/>
      <c r="X72" s="453"/>
      <c r="Y72" s="383"/>
      <c r="Z72" s="383"/>
      <c r="AA72" s="383"/>
    </row>
    <row r="73" spans="1:27" ht="45" customHeight="1" thickBot="1" x14ac:dyDescent="0.4">
      <c r="R73" s="453"/>
      <c r="S73" s="453"/>
      <c r="T73" s="453"/>
      <c r="U73" s="453"/>
      <c r="V73" s="453"/>
      <c r="W73" s="453"/>
      <c r="X73" s="453"/>
      <c r="Y73" s="383"/>
      <c r="Z73" s="383"/>
      <c r="AA73" s="383"/>
    </row>
    <row r="74" spans="1:27" ht="45" customHeight="1" thickBot="1" x14ac:dyDescent="0.55000000000000004">
      <c r="C74" s="362" t="s">
        <v>1304</v>
      </c>
      <c r="D74" s="363"/>
      <c r="E74" s="364"/>
      <c r="F74" s="364"/>
      <c r="G74" s="364"/>
      <c r="H74" s="364"/>
      <c r="I74" s="364"/>
      <c r="J74" s="417"/>
      <c r="K74" s="417"/>
      <c r="L74" s="418"/>
      <c r="M74" s="418"/>
      <c r="N74" s="419"/>
      <c r="O74" s="366" t="s">
        <v>1455</v>
      </c>
      <c r="R74" s="453"/>
      <c r="S74" s="453"/>
      <c r="T74" s="453"/>
      <c r="U74" s="453"/>
      <c r="V74" s="453"/>
      <c r="W74" s="453"/>
      <c r="X74" s="453"/>
      <c r="Y74" s="383"/>
      <c r="Z74" s="383"/>
      <c r="AA74" s="383"/>
    </row>
    <row r="75" spans="1:27" ht="45" customHeight="1" x14ac:dyDescent="0.35">
      <c r="C75" s="902" t="s">
        <v>1303</v>
      </c>
      <c r="D75" s="903"/>
      <c r="E75" s="904"/>
      <c r="F75" s="420" t="s">
        <v>32</v>
      </c>
      <c r="G75" s="421"/>
      <c r="H75" s="422" t="s">
        <v>33</v>
      </c>
      <c r="I75" s="422"/>
      <c r="J75" s="908" t="s">
        <v>34</v>
      </c>
      <c r="K75" s="909"/>
      <c r="L75" s="909"/>
      <c r="M75" s="909"/>
      <c r="N75" s="910"/>
      <c r="O75" s="438" t="s">
        <v>36</v>
      </c>
      <c r="R75" s="453"/>
      <c r="S75" s="453"/>
      <c r="T75" s="453"/>
      <c r="U75" s="453"/>
      <c r="V75" s="453"/>
      <c r="W75" s="453"/>
      <c r="X75" s="453"/>
      <c r="Y75" s="383"/>
      <c r="Z75" s="383"/>
      <c r="AA75" s="383"/>
    </row>
    <row r="76" spans="1:27" ht="45" customHeight="1" thickBot="1" x14ac:dyDescent="0.4">
      <c r="C76" s="939" t="s">
        <v>1302</v>
      </c>
      <c r="D76" s="940"/>
      <c r="E76" s="941"/>
      <c r="F76" s="540">
        <v>2023</v>
      </c>
      <c r="G76" s="541">
        <v>2025</v>
      </c>
      <c r="H76" s="541">
        <f>G76+5</f>
        <v>2030</v>
      </c>
      <c r="I76" s="540">
        <f>H76+5</f>
        <v>2035</v>
      </c>
      <c r="J76" s="542">
        <v>2023</v>
      </c>
      <c r="K76" s="543">
        <v>2025</v>
      </c>
      <c r="L76" s="543">
        <v>2030</v>
      </c>
      <c r="M76" s="543">
        <v>2035</v>
      </c>
      <c r="N76" s="544" t="s">
        <v>35</v>
      </c>
      <c r="O76" s="108"/>
      <c r="R76" s="453"/>
      <c r="S76" s="453"/>
      <c r="T76" s="453"/>
      <c r="U76" s="453"/>
      <c r="V76" s="453"/>
      <c r="W76" s="453"/>
      <c r="X76" s="453"/>
      <c r="Y76" s="383"/>
      <c r="Z76" s="383"/>
      <c r="AA76" s="383"/>
    </row>
    <row r="77" spans="1:27" ht="45" customHeight="1" x14ac:dyDescent="0.35">
      <c r="C77" s="545"/>
      <c r="D77" s="545"/>
      <c r="E77" s="545"/>
      <c r="F77" s="545"/>
      <c r="G77" s="545"/>
      <c r="H77" s="545"/>
      <c r="I77" s="545"/>
      <c r="J77" s="545"/>
      <c r="K77" s="545"/>
      <c r="L77" s="545"/>
      <c r="M77" s="545"/>
      <c r="N77" s="545"/>
      <c r="O77" s="545"/>
      <c r="R77" s="453"/>
      <c r="S77" s="453"/>
      <c r="T77" s="453"/>
      <c r="U77" s="453"/>
      <c r="V77" s="453"/>
      <c r="W77" s="453"/>
      <c r="X77" s="453"/>
      <c r="Y77" s="383"/>
      <c r="Z77" s="383"/>
      <c r="AA77" s="383"/>
    </row>
    <row r="78" spans="1:27" ht="45" customHeight="1" x14ac:dyDescent="0.35">
      <c r="C78" s="454"/>
      <c r="D78" s="546"/>
      <c r="E78" s="467"/>
      <c r="F78" s="467"/>
      <c r="G78" s="467"/>
      <c r="H78" s="467"/>
      <c r="I78" s="467"/>
      <c r="J78" s="467"/>
      <c r="K78" s="467"/>
      <c r="L78" s="467"/>
      <c r="M78" s="467"/>
      <c r="N78" s="467"/>
      <c r="O78" s="467"/>
      <c r="Q78" s="124"/>
      <c r="R78" s="453"/>
      <c r="S78" s="453"/>
      <c r="T78" s="453"/>
      <c r="U78" s="453"/>
      <c r="V78" s="453"/>
      <c r="W78" s="453"/>
      <c r="X78" s="453"/>
      <c r="Y78" s="383"/>
      <c r="Z78" s="383"/>
      <c r="AA78" s="383"/>
    </row>
    <row r="79" spans="1:27" ht="45" customHeight="1" x14ac:dyDescent="0.5">
      <c r="B79" s="450" t="s">
        <v>1470</v>
      </c>
      <c r="C79" s="451"/>
      <c r="D79" s="451"/>
      <c r="E79" s="451"/>
      <c r="F79" s="451"/>
      <c r="G79" s="451"/>
      <c r="H79" s="451"/>
      <c r="I79" s="451"/>
      <c r="J79" s="451"/>
      <c r="K79" s="451"/>
      <c r="L79" s="451"/>
      <c r="M79" s="451"/>
      <c r="N79" s="451"/>
      <c r="O79" s="452"/>
      <c r="P79" s="451"/>
      <c r="Q79" s="383"/>
      <c r="R79" s="453"/>
      <c r="S79" s="453"/>
      <c r="T79" s="453"/>
      <c r="U79" s="453"/>
      <c r="V79" s="453"/>
      <c r="W79" s="453"/>
      <c r="X79" s="453"/>
      <c r="Y79" s="383"/>
    </row>
    <row r="80" spans="1:27" ht="45" customHeight="1" thickBot="1" x14ac:dyDescent="0.4">
      <c r="B80" s="383"/>
      <c r="C80" s="383"/>
      <c r="D80" s="383"/>
      <c r="E80" s="383"/>
      <c r="F80" s="383"/>
      <c r="G80" s="383"/>
      <c r="H80" s="383"/>
      <c r="I80" s="383"/>
      <c r="J80" s="383"/>
      <c r="K80" s="383"/>
      <c r="L80" s="383"/>
      <c r="M80" s="383"/>
      <c r="O80" s="389"/>
      <c r="P80" s="383"/>
      <c r="Q80" s="383"/>
      <c r="R80" s="383"/>
      <c r="S80" s="383"/>
      <c r="T80" s="383"/>
      <c r="U80" s="383"/>
      <c r="V80" s="383"/>
      <c r="W80" s="383"/>
      <c r="X80" s="383"/>
      <c r="Y80" s="383"/>
      <c r="Z80" s="383"/>
      <c r="AA80" s="383"/>
    </row>
    <row r="81" spans="1:27" ht="45" customHeight="1" thickBot="1" x14ac:dyDescent="0.55000000000000004">
      <c r="A81" s="454"/>
      <c r="B81" s="383"/>
      <c r="C81" s="362" t="s">
        <v>40</v>
      </c>
      <c r="D81" s="363"/>
      <c r="E81" s="364"/>
      <c r="F81" s="364"/>
      <c r="G81" s="364"/>
      <c r="H81" s="364"/>
      <c r="I81" s="364"/>
      <c r="J81" s="417"/>
      <c r="K81" s="417"/>
      <c r="L81" s="418"/>
      <c r="M81" s="418"/>
      <c r="N81" s="419"/>
      <c r="O81" s="366" t="s">
        <v>1456</v>
      </c>
      <c r="P81" s="383"/>
      <c r="Q81" s="383"/>
      <c r="R81" s="383"/>
      <c r="S81" s="383"/>
      <c r="T81" s="383"/>
      <c r="U81" s="383"/>
      <c r="V81" s="383"/>
      <c r="W81" s="383"/>
      <c r="X81" s="383"/>
      <c r="Y81" s="383"/>
      <c r="Z81" s="383"/>
      <c r="AA81" s="383"/>
    </row>
    <row r="82" spans="1:27" ht="45" customHeight="1" x14ac:dyDescent="0.35">
      <c r="A82" s="454"/>
      <c r="B82" s="383"/>
      <c r="C82" s="902" t="s">
        <v>85</v>
      </c>
      <c r="D82" s="903"/>
      <c r="E82" s="904"/>
      <c r="F82" s="420" t="s">
        <v>32</v>
      </c>
      <c r="G82" s="421"/>
      <c r="H82" s="369" t="s">
        <v>33</v>
      </c>
      <c r="I82" s="422"/>
      <c r="J82" s="908" t="s">
        <v>34</v>
      </c>
      <c r="K82" s="909"/>
      <c r="L82" s="909"/>
      <c r="M82" s="909"/>
      <c r="N82" s="910"/>
      <c r="O82" s="438" t="s">
        <v>36</v>
      </c>
      <c r="P82" s="383"/>
      <c r="Q82" s="389"/>
      <c r="R82" s="383"/>
      <c r="S82" s="383"/>
      <c r="T82" s="383"/>
      <c r="U82" s="383"/>
      <c r="V82" s="383"/>
      <c r="W82" s="383"/>
      <c r="X82" s="383"/>
      <c r="Y82" s="383"/>
      <c r="Z82" s="383"/>
      <c r="AA82" s="383"/>
    </row>
    <row r="83" spans="1:27" ht="45" customHeight="1" x14ac:dyDescent="0.35">
      <c r="A83" s="455"/>
      <c r="B83" s="383"/>
      <c r="C83" s="468"/>
      <c r="D83" s="457"/>
      <c r="E83" s="458"/>
      <c r="F83" s="425">
        <v>2023</v>
      </c>
      <c r="G83" s="425">
        <v>2025</v>
      </c>
      <c r="H83" s="425">
        <f t="shared" ref="H83:I83" si="7">G83+5</f>
        <v>2030</v>
      </c>
      <c r="I83" s="426">
        <f t="shared" si="7"/>
        <v>2035</v>
      </c>
      <c r="J83" s="374">
        <v>2023</v>
      </c>
      <c r="K83" s="375">
        <v>2025</v>
      </c>
      <c r="L83" s="375">
        <v>2030</v>
      </c>
      <c r="M83" s="375">
        <v>2035</v>
      </c>
      <c r="N83" s="376" t="s">
        <v>35</v>
      </c>
      <c r="O83" s="440"/>
      <c r="P83" s="383"/>
      <c r="R83" s="383"/>
      <c r="S83" s="383"/>
      <c r="T83" s="383"/>
      <c r="U83" s="383"/>
      <c r="V83" s="383"/>
      <c r="W83" s="383"/>
      <c r="X83" s="383"/>
      <c r="Y83" s="383"/>
      <c r="Z83" s="383"/>
      <c r="AA83" s="383"/>
    </row>
    <row r="84" spans="1:27" ht="45" customHeight="1" thickBot="1" x14ac:dyDescent="0.4">
      <c r="A84" s="455"/>
      <c r="B84" s="383"/>
      <c r="C84" s="462" t="s">
        <v>40</v>
      </c>
      <c r="D84" s="463" t="s">
        <v>86</v>
      </c>
      <c r="E84" s="380" t="s">
        <v>39</v>
      </c>
      <c r="F84" s="238">
        <f>F32</f>
        <v>0</v>
      </c>
      <c r="G84" s="238">
        <f>G32</f>
        <v>0</v>
      </c>
      <c r="H84" s="238">
        <f>H32</f>
        <v>0</v>
      </c>
      <c r="I84" s="239">
        <f>I32</f>
        <v>0</v>
      </c>
      <c r="J84" s="493">
        <f>IF(AND(ISNUMBER(J32),J32&gt;0),J32,E42)</f>
        <v>4.7868065418002384E-2</v>
      </c>
      <c r="K84" s="465">
        <f>K32</f>
        <v>3.6957164362437726E-2</v>
      </c>
      <c r="L84" s="465">
        <f>L32</f>
        <v>1.8894210049639697E-2</v>
      </c>
      <c r="M84" s="465">
        <f>M32</f>
        <v>1.1739632740217762E-2</v>
      </c>
      <c r="N84" s="433" t="s">
        <v>149</v>
      </c>
      <c r="O84" s="108"/>
      <c r="P84" s="383"/>
      <c r="R84" s="383"/>
      <c r="S84" s="383"/>
      <c r="T84" s="383"/>
      <c r="U84" s="383"/>
      <c r="V84" s="383"/>
      <c r="W84" s="383"/>
      <c r="X84" s="383"/>
      <c r="Y84" s="383"/>
      <c r="Z84" s="383"/>
      <c r="AA84" s="383"/>
    </row>
    <row r="85" spans="1:27" ht="45" customHeight="1" x14ac:dyDescent="0.35">
      <c r="A85" s="454"/>
      <c r="B85" s="453"/>
      <c r="C85" s="409" t="s">
        <v>148</v>
      </c>
      <c r="D85" s="410"/>
      <c r="E85" s="411">
        <f>EF!C53</f>
        <v>4.7868065418002384E-2</v>
      </c>
      <c r="F85" s="412" t="s">
        <v>149</v>
      </c>
      <c r="H85" s="453"/>
      <c r="I85" s="453"/>
      <c r="J85" s="453"/>
      <c r="K85" s="453"/>
      <c r="L85" s="453"/>
      <c r="M85" s="453"/>
      <c r="O85" s="467"/>
      <c r="P85" s="453"/>
      <c r="R85" s="383"/>
      <c r="S85" s="383"/>
      <c r="T85" s="383"/>
      <c r="U85" s="383"/>
      <c r="V85" s="383"/>
      <c r="W85" s="383"/>
      <c r="X85" s="383"/>
      <c r="Y85" s="383"/>
      <c r="Z85" s="383"/>
      <c r="AA85" s="383"/>
    </row>
    <row r="86" spans="1:27" ht="45" customHeight="1" thickBot="1" x14ac:dyDescent="0.4">
      <c r="A86" s="454"/>
      <c r="B86" s="453"/>
      <c r="C86" s="409"/>
      <c r="D86" s="410"/>
      <c r="E86" s="453"/>
      <c r="F86" s="466"/>
      <c r="G86" s="412"/>
      <c r="H86" s="453"/>
      <c r="I86" s="453"/>
      <c r="J86" s="453"/>
      <c r="K86" s="453"/>
      <c r="L86" s="453"/>
      <c r="M86" s="453"/>
      <c r="O86" s="467"/>
      <c r="P86" s="453"/>
      <c r="R86" s="383"/>
      <c r="S86" s="383"/>
      <c r="T86" s="383"/>
      <c r="U86" s="383"/>
      <c r="V86" s="383"/>
      <c r="W86" s="383"/>
      <c r="X86" s="383"/>
      <c r="Y86" s="383"/>
      <c r="Z86" s="383"/>
      <c r="AA86" s="383"/>
    </row>
    <row r="87" spans="1:27" ht="45" customHeight="1" thickBot="1" x14ac:dyDescent="0.55000000000000004">
      <c r="A87" s="454"/>
      <c r="B87" s="453"/>
      <c r="C87" s="362" t="s">
        <v>87</v>
      </c>
      <c r="D87" s="363"/>
      <c r="E87" s="364"/>
      <c r="F87" s="364"/>
      <c r="G87" s="364"/>
      <c r="H87" s="364"/>
      <c r="I87" s="364"/>
      <c r="J87" s="364"/>
      <c r="K87" s="364"/>
      <c r="L87" s="365"/>
      <c r="M87" s="365"/>
      <c r="N87" s="419"/>
      <c r="O87" s="366" t="s">
        <v>1457</v>
      </c>
      <c r="R87" s="383"/>
      <c r="S87" s="383"/>
      <c r="T87" s="383"/>
      <c r="U87" s="383"/>
      <c r="V87" s="383"/>
      <c r="W87" s="383"/>
      <c r="X87" s="383"/>
      <c r="Y87" s="383"/>
      <c r="Z87" s="383"/>
      <c r="AA87" s="383"/>
    </row>
    <row r="88" spans="1:27" ht="45" customHeight="1" x14ac:dyDescent="0.35">
      <c r="A88" s="454"/>
      <c r="B88" s="453"/>
      <c r="C88" s="902" t="s">
        <v>1195</v>
      </c>
      <c r="D88" s="903"/>
      <c r="E88" s="904"/>
      <c r="F88" s="420" t="s">
        <v>32</v>
      </c>
      <c r="G88" s="368"/>
      <c r="H88" s="422" t="s">
        <v>33</v>
      </c>
      <c r="I88" s="519"/>
      <c r="J88" s="908" t="s">
        <v>34</v>
      </c>
      <c r="K88" s="909"/>
      <c r="L88" s="909"/>
      <c r="M88" s="909"/>
      <c r="N88" s="910"/>
      <c r="O88" s="438" t="s">
        <v>36</v>
      </c>
      <c r="Q88" s="467"/>
      <c r="R88" s="383"/>
      <c r="S88" s="383"/>
      <c r="T88" s="383"/>
      <c r="U88" s="383"/>
      <c r="V88" s="383"/>
      <c r="W88" s="383"/>
      <c r="X88" s="383"/>
      <c r="Y88" s="383"/>
      <c r="Z88" s="383"/>
      <c r="AA88" s="383"/>
    </row>
    <row r="89" spans="1:27" ht="45" customHeight="1" x14ac:dyDescent="0.35">
      <c r="A89" s="454"/>
      <c r="B89" s="453"/>
      <c r="C89" s="516" t="s">
        <v>89</v>
      </c>
      <c r="D89" s="457" t="str">
        <f>IF(Basisoplysninger!J7=1,"DK vest","DK øst")</f>
        <v>DK vest</v>
      </c>
      <c r="E89" s="458"/>
      <c r="F89" s="425">
        <v>2023</v>
      </c>
      <c r="G89" s="425">
        <v>2025</v>
      </c>
      <c r="H89" s="425">
        <f t="shared" ref="H89:I89" si="8">G89+5</f>
        <v>2030</v>
      </c>
      <c r="I89" s="520">
        <f t="shared" si="8"/>
        <v>2035</v>
      </c>
      <c r="J89" s="374">
        <v>2023</v>
      </c>
      <c r="K89" s="375">
        <v>2025</v>
      </c>
      <c r="L89" s="375">
        <v>2030</v>
      </c>
      <c r="M89" s="375">
        <v>2035</v>
      </c>
      <c r="N89" s="376" t="s">
        <v>35</v>
      </c>
      <c r="O89" s="440"/>
      <c r="Q89" s="467"/>
      <c r="R89" s="383"/>
      <c r="S89" s="383"/>
      <c r="T89" s="383"/>
      <c r="U89" s="383"/>
      <c r="V89" s="383"/>
      <c r="W89" s="383"/>
      <c r="X89" s="383"/>
      <c r="Y89" s="383"/>
      <c r="Z89" s="383"/>
      <c r="AA89" s="383"/>
    </row>
    <row r="90" spans="1:27" ht="45" customHeight="1" thickBot="1" x14ac:dyDescent="0.4">
      <c r="A90" s="455"/>
      <c r="B90" s="453"/>
      <c r="C90" s="462" t="s">
        <v>87</v>
      </c>
      <c r="D90" s="463" t="s">
        <v>147</v>
      </c>
      <c r="E90" s="380" t="s">
        <v>39</v>
      </c>
      <c r="F90" s="216">
        <f>IF(ISNUMBER(INDEX('Data SPV rens'!C5:C233,MATCH(Renseanlæg!C2,'Data SPV rens'!A5:A233,0))),INDEX('Data SPV rens'!C5:C233,MATCH(Renseanlæg!C2,'Data SPV rens'!A5:A233,0)),0)</f>
        <v>0</v>
      </c>
      <c r="G90" s="218"/>
      <c r="H90" s="218"/>
      <c r="I90" s="244"/>
      <c r="J90" s="469">
        <f>IF($D$89="DK øst",EF!C54,EF!C55)</f>
        <v>0.10340000000000001</v>
      </c>
      <c r="K90" s="547">
        <f>IF($D$89="DK øst",EF!E54,EF!E55)</f>
        <v>5.6939999999999998E-2</v>
      </c>
      <c r="L90" s="547">
        <f>IF($D$89="DK øst",EF!G54,EF!G55)</f>
        <v>2.4410000000000001E-2</v>
      </c>
      <c r="M90" s="547">
        <f>IF($D$89="DK øst",EF!I54,EF!I55)</f>
        <v>2.002E-2</v>
      </c>
      <c r="N90" s="433" t="s">
        <v>149</v>
      </c>
      <c r="O90" s="108"/>
      <c r="Q90" s="467"/>
      <c r="R90" s="383"/>
      <c r="S90" s="383"/>
      <c r="T90" s="383"/>
      <c r="U90" s="383"/>
      <c r="V90" s="383"/>
      <c r="W90" s="383"/>
      <c r="X90" s="383"/>
      <c r="Y90" s="383"/>
      <c r="Z90" s="383"/>
      <c r="AA90" s="383"/>
    </row>
    <row r="91" spans="1:27" ht="45" customHeight="1" x14ac:dyDescent="0.35">
      <c r="A91" s="455"/>
      <c r="B91" s="453"/>
      <c r="C91" s="467"/>
      <c r="D91" s="467"/>
      <c r="E91" s="453"/>
      <c r="F91" s="453"/>
      <c r="G91" s="453"/>
      <c r="H91" s="453"/>
      <c r="I91" s="453"/>
      <c r="K91" s="453"/>
      <c r="L91" s="383"/>
      <c r="M91" s="383"/>
      <c r="O91" s="389"/>
      <c r="Q91" s="467"/>
      <c r="R91" s="383"/>
      <c r="S91" s="383"/>
      <c r="T91" s="383"/>
      <c r="U91" s="383"/>
      <c r="V91" s="383"/>
      <c r="W91" s="383"/>
      <c r="X91" s="383"/>
      <c r="Y91" s="383"/>
      <c r="Z91" s="383"/>
      <c r="AA91" s="383"/>
    </row>
    <row r="92" spans="1:27" ht="45" customHeight="1" x14ac:dyDescent="0.35">
      <c r="A92" s="454"/>
      <c r="B92" s="453"/>
      <c r="C92" s="467"/>
      <c r="D92" s="467"/>
      <c r="E92" s="453"/>
      <c r="F92" s="453"/>
      <c r="G92" s="453"/>
      <c r="H92" s="453"/>
      <c r="I92" s="453"/>
      <c r="J92" s="383"/>
      <c r="K92" s="453"/>
      <c r="L92" s="453"/>
      <c r="M92" s="453"/>
      <c r="O92" s="467"/>
      <c r="P92" s="453"/>
      <c r="Q92" s="467"/>
      <c r="R92" s="383"/>
      <c r="S92" s="383"/>
      <c r="T92" s="383"/>
      <c r="U92" s="383"/>
      <c r="V92" s="383"/>
      <c r="W92" s="383"/>
      <c r="X92" s="383"/>
      <c r="Y92" s="383"/>
      <c r="Z92" s="383"/>
      <c r="AA92" s="383"/>
    </row>
    <row r="93" spans="1:27" ht="45" customHeight="1" x14ac:dyDescent="0.5">
      <c r="B93" s="359" t="s">
        <v>1294</v>
      </c>
      <c r="C93" s="360"/>
      <c r="D93" s="360"/>
      <c r="E93" s="360"/>
      <c r="F93" s="360"/>
      <c r="G93" s="360"/>
      <c r="H93" s="360"/>
      <c r="I93" s="360"/>
      <c r="J93" s="360"/>
      <c r="K93" s="360"/>
      <c r="L93" s="360"/>
      <c r="M93" s="360"/>
      <c r="N93" s="360"/>
      <c r="O93" s="360"/>
      <c r="P93" s="360"/>
      <c r="R93" s="383"/>
      <c r="S93" s="383"/>
      <c r="T93" s="383"/>
      <c r="U93" s="383"/>
      <c r="V93" s="383"/>
      <c r="W93" s="383"/>
      <c r="X93" s="383"/>
      <c r="Y93" s="383"/>
      <c r="Z93" s="383"/>
      <c r="AA93" s="383"/>
    </row>
    <row r="94" spans="1:27" ht="45" customHeight="1" thickBot="1" x14ac:dyDescent="0.4">
      <c r="R94" s="383"/>
      <c r="S94" s="383"/>
      <c r="T94" s="383"/>
      <c r="U94" s="383"/>
      <c r="V94" s="383"/>
      <c r="W94" s="383"/>
      <c r="X94" s="383"/>
      <c r="Y94" s="383"/>
      <c r="Z94" s="383"/>
      <c r="AA94" s="383"/>
    </row>
    <row r="95" spans="1:27" ht="45" customHeight="1" thickBot="1" x14ac:dyDescent="0.55000000000000004">
      <c r="C95" s="362" t="s">
        <v>1288</v>
      </c>
      <c r="D95" s="363"/>
      <c r="E95" s="364"/>
      <c r="F95" s="364"/>
      <c r="G95" s="364"/>
      <c r="H95" s="364"/>
      <c r="I95" s="364"/>
      <c r="J95" s="417"/>
      <c r="K95" s="417"/>
      <c r="L95" s="418"/>
      <c r="M95" s="418"/>
      <c r="N95" s="419"/>
      <c r="O95" s="366" t="s">
        <v>1458</v>
      </c>
      <c r="R95" s="383"/>
      <c r="S95" s="383"/>
      <c r="T95" s="383"/>
      <c r="U95" s="383"/>
      <c r="V95" s="383"/>
      <c r="W95" s="383"/>
      <c r="X95" s="383"/>
      <c r="Y95" s="383"/>
      <c r="Z95" s="383"/>
      <c r="AA95" s="383"/>
    </row>
    <row r="96" spans="1:27" ht="45" customHeight="1" x14ac:dyDescent="0.35">
      <c r="C96" s="902" t="s">
        <v>1295</v>
      </c>
      <c r="D96" s="903"/>
      <c r="E96" s="904"/>
      <c r="F96" s="420" t="s">
        <v>32</v>
      </c>
      <c r="G96" s="421"/>
      <c r="H96" s="369" t="s">
        <v>33</v>
      </c>
      <c r="I96" s="422"/>
      <c r="J96" s="908" t="s">
        <v>34</v>
      </c>
      <c r="K96" s="909"/>
      <c r="L96" s="909"/>
      <c r="M96" s="909"/>
      <c r="N96" s="910"/>
      <c r="O96" s="438" t="s">
        <v>36</v>
      </c>
      <c r="R96" s="383"/>
      <c r="S96" s="383"/>
      <c r="T96" s="383"/>
      <c r="U96" s="383"/>
      <c r="V96" s="383"/>
      <c r="W96" s="383"/>
      <c r="X96" s="383"/>
      <c r="Y96" s="383"/>
      <c r="Z96" s="383"/>
      <c r="AA96" s="383"/>
    </row>
    <row r="97" spans="2:27" ht="45" customHeight="1" x14ac:dyDescent="0.35">
      <c r="C97" s="905" t="s">
        <v>1296</v>
      </c>
      <c r="D97" s="906"/>
      <c r="E97" s="907"/>
      <c r="F97" s="425">
        <v>2023</v>
      </c>
      <c r="G97" s="425">
        <v>2025</v>
      </c>
      <c r="H97" s="425">
        <f t="shared" ref="H97:I97" si="9">G97+5</f>
        <v>2030</v>
      </c>
      <c r="I97" s="426">
        <f t="shared" si="9"/>
        <v>2035</v>
      </c>
      <c r="J97" s="459">
        <v>2023</v>
      </c>
      <c r="K97" s="460">
        <v>2025</v>
      </c>
      <c r="L97" s="460">
        <v>2030</v>
      </c>
      <c r="M97" s="460">
        <v>2035</v>
      </c>
      <c r="N97" s="461" t="s">
        <v>35</v>
      </c>
      <c r="O97" s="440"/>
      <c r="R97" s="383"/>
      <c r="S97" s="383"/>
      <c r="T97" s="383"/>
      <c r="U97" s="383"/>
      <c r="V97" s="383"/>
      <c r="W97" s="383"/>
      <c r="X97" s="383"/>
      <c r="Y97" s="383"/>
      <c r="Z97" s="383"/>
      <c r="AA97" s="383"/>
    </row>
    <row r="98" spans="2:27" ht="45" customHeight="1" x14ac:dyDescent="0.35">
      <c r="C98" s="473" t="s">
        <v>1289</v>
      </c>
      <c r="D98" s="385" t="s">
        <v>1308</v>
      </c>
      <c r="E98" s="385" t="s">
        <v>39</v>
      </c>
      <c r="F98" s="214">
        <f>IF(ISNUMBER(INDEX('Data SPV rens'!L5:L109,MATCH(C2,'Data SPV rens'!A5:A109,0))),INDEX('Data SPV rens'!L5:L109,MATCH(C2,'Data SPV rens'!A5:A109,0)),0)</f>
        <v>0</v>
      </c>
      <c r="G98" s="355"/>
      <c r="H98" s="355"/>
      <c r="I98" s="356"/>
      <c r="J98" s="922" t="s">
        <v>1359</v>
      </c>
      <c r="K98" s="923"/>
      <c r="L98" s="923"/>
      <c r="M98" s="923"/>
      <c r="N98" s="924"/>
      <c r="O98" s="104"/>
      <c r="R98" s="383"/>
      <c r="S98" s="383"/>
      <c r="T98" s="383"/>
      <c r="U98" s="383"/>
      <c r="V98" s="383"/>
      <c r="W98" s="383"/>
      <c r="X98" s="383"/>
      <c r="Y98" s="383"/>
      <c r="Z98" s="383"/>
      <c r="AA98" s="383"/>
    </row>
    <row r="99" spans="2:27" ht="45" customHeight="1" thickBot="1" x14ac:dyDescent="0.4">
      <c r="C99" s="462" t="s">
        <v>1290</v>
      </c>
      <c r="D99" s="380" t="s">
        <v>1309</v>
      </c>
      <c r="E99" s="380" t="s">
        <v>39</v>
      </c>
      <c r="F99" s="216">
        <f>IF(ISNUMBER(INDEX('Data SPV rens'!K5:K109,MATCH(C2,'Data SPV rens'!A5:A109,0))),INDEX('Data SPV rens'!K5:K109,MATCH(C2,'Data SPV rens'!A5:A109,0)),0)</f>
        <v>0</v>
      </c>
      <c r="G99" s="357"/>
      <c r="H99" s="357"/>
      <c r="I99" s="358"/>
      <c r="J99" s="922" t="s">
        <v>1359</v>
      </c>
      <c r="K99" s="923"/>
      <c r="L99" s="923"/>
      <c r="M99" s="923"/>
      <c r="N99" s="924"/>
      <c r="O99" s="108"/>
      <c r="R99" s="383"/>
      <c r="S99" s="383"/>
      <c r="T99" s="383"/>
      <c r="U99" s="383"/>
      <c r="V99" s="383"/>
      <c r="W99" s="383"/>
      <c r="X99" s="383"/>
      <c r="Y99" s="383"/>
      <c r="Z99" s="383"/>
      <c r="AA99" s="383"/>
    </row>
    <row r="100" spans="2:27" ht="45" customHeight="1" x14ac:dyDescent="0.35">
      <c r="R100" s="383"/>
      <c r="S100" s="383"/>
      <c r="T100" s="383"/>
      <c r="U100" s="383"/>
      <c r="V100" s="383"/>
      <c r="W100" s="383"/>
      <c r="X100" s="383"/>
      <c r="Y100" s="383"/>
      <c r="Z100" s="383"/>
      <c r="AA100" s="383"/>
    </row>
    <row r="101" spans="2:27" ht="45" customHeight="1" x14ac:dyDescent="0.5">
      <c r="B101" s="359"/>
      <c r="C101" s="360"/>
      <c r="D101" s="360"/>
      <c r="E101" s="360"/>
      <c r="F101" s="360"/>
      <c r="G101" s="360"/>
      <c r="H101" s="360"/>
      <c r="I101" s="360"/>
      <c r="J101" s="360"/>
      <c r="K101" s="360"/>
      <c r="L101" s="360"/>
      <c r="M101" s="360"/>
      <c r="N101" s="360"/>
      <c r="O101" s="360"/>
      <c r="P101" s="360"/>
      <c r="R101" s="383"/>
      <c r="S101" s="383"/>
      <c r="T101" s="383"/>
      <c r="U101" s="383"/>
      <c r="V101" s="383"/>
      <c r="W101" s="383"/>
      <c r="X101" s="383"/>
      <c r="Y101" s="383"/>
      <c r="Z101" s="383"/>
      <c r="AA101" s="383"/>
    </row>
    <row r="102" spans="2:27" ht="45" customHeight="1" x14ac:dyDescent="0.35">
      <c r="R102" s="383"/>
      <c r="S102" s="383"/>
      <c r="T102" s="383"/>
      <c r="U102" s="383"/>
      <c r="V102" s="383"/>
      <c r="W102" s="383"/>
      <c r="X102" s="383"/>
      <c r="Y102" s="383"/>
      <c r="Z102" s="383"/>
      <c r="AA102" s="383"/>
    </row>
    <row r="103" spans="2:27" ht="45" customHeight="1" x14ac:dyDescent="0.35">
      <c r="R103" s="383"/>
      <c r="S103" s="383"/>
      <c r="T103" s="383"/>
      <c r="U103" s="383"/>
      <c r="V103" s="383"/>
      <c r="W103" s="383"/>
      <c r="X103" s="383"/>
      <c r="Y103" s="383"/>
      <c r="Z103" s="383"/>
      <c r="AA103" s="383"/>
    </row>
    <row r="104" spans="2:27" ht="45" customHeight="1" x14ac:dyDescent="0.5">
      <c r="B104" s="450" t="s">
        <v>1471</v>
      </c>
      <c r="C104" s="476"/>
      <c r="D104" s="476"/>
      <c r="E104" s="476"/>
      <c r="F104" s="476"/>
      <c r="G104" s="476"/>
      <c r="H104" s="476"/>
      <c r="I104" s="476"/>
      <c r="J104" s="476"/>
      <c r="K104" s="476"/>
      <c r="L104" s="476"/>
      <c r="M104" s="476"/>
      <c r="N104" s="476"/>
      <c r="O104" s="477"/>
      <c r="P104" s="476"/>
      <c r="Q104" s="467"/>
      <c r="R104" s="383"/>
      <c r="S104" s="383"/>
      <c r="T104" s="383"/>
      <c r="U104" s="383"/>
      <c r="V104" s="383"/>
      <c r="W104" s="383"/>
      <c r="X104" s="383"/>
      <c r="Y104" s="389"/>
      <c r="Z104" s="389"/>
      <c r="AA104" s="389"/>
    </row>
    <row r="105" spans="2:27" ht="45" customHeight="1" x14ac:dyDescent="0.35">
      <c r="O105" s="120"/>
      <c r="Q105" s="467"/>
      <c r="R105" s="383"/>
      <c r="S105" s="122"/>
      <c r="T105" s="122"/>
      <c r="U105" s="122"/>
      <c r="V105" s="122"/>
      <c r="W105" s="415"/>
      <c r="X105" s="383"/>
      <c r="Y105" s="383"/>
      <c r="Z105" s="383"/>
      <c r="AA105" s="383"/>
    </row>
    <row r="106" spans="2:27" ht="45" customHeight="1" thickBot="1" x14ac:dyDescent="0.4">
      <c r="B106" s="383"/>
      <c r="C106" s="383"/>
      <c r="D106" s="383"/>
      <c r="E106" s="383"/>
      <c r="F106" s="383"/>
      <c r="G106" s="383"/>
      <c r="H106" s="383"/>
      <c r="I106" s="383"/>
      <c r="J106" s="383"/>
      <c r="K106" s="383"/>
      <c r="L106" s="383"/>
      <c r="M106" s="383"/>
      <c r="O106" s="389"/>
      <c r="P106" s="383"/>
      <c r="Q106" s="453"/>
      <c r="S106" s="122"/>
      <c r="T106" s="122"/>
      <c r="U106" s="122"/>
      <c r="V106" s="122"/>
      <c r="W106" s="383"/>
      <c r="X106" s="383"/>
      <c r="Y106" s="383"/>
      <c r="Z106" s="383"/>
      <c r="AA106" s="383"/>
    </row>
    <row r="107" spans="2:27" ht="45" customHeight="1" thickBot="1" x14ac:dyDescent="0.55000000000000004">
      <c r="B107" s="383"/>
      <c r="C107" s="362" t="s">
        <v>91</v>
      </c>
      <c r="D107" s="363"/>
      <c r="E107" s="364"/>
      <c r="F107" s="364"/>
      <c r="G107" s="364"/>
      <c r="H107" s="364"/>
      <c r="I107" s="364"/>
      <c r="J107" s="364"/>
      <c r="K107" s="364"/>
      <c r="L107" s="365"/>
      <c r="M107" s="365"/>
      <c r="N107" s="419"/>
      <c r="O107" s="366" t="s">
        <v>1459</v>
      </c>
      <c r="P107" s="383"/>
      <c r="Q107" s="383"/>
    </row>
    <row r="108" spans="2:27" ht="45" customHeight="1" x14ac:dyDescent="0.35">
      <c r="B108" s="383"/>
      <c r="C108" s="902" t="s">
        <v>1196</v>
      </c>
      <c r="D108" s="903"/>
      <c r="E108" s="904"/>
      <c r="F108" s="420" t="s">
        <v>32</v>
      </c>
      <c r="G108" s="368"/>
      <c r="H108" s="422" t="s">
        <v>33</v>
      </c>
      <c r="I108" s="519"/>
      <c r="J108" s="908" t="s">
        <v>34</v>
      </c>
      <c r="K108" s="909"/>
      <c r="L108" s="909"/>
      <c r="M108" s="909"/>
      <c r="N108" s="910"/>
      <c r="O108" s="423" t="s">
        <v>36</v>
      </c>
      <c r="P108" s="383"/>
      <c r="Q108" s="383"/>
    </row>
    <row r="109" spans="2:27" ht="45" customHeight="1" x14ac:dyDescent="0.35">
      <c r="B109" s="383"/>
      <c r="C109" s="905" t="s">
        <v>92</v>
      </c>
      <c r="D109" s="906"/>
      <c r="E109" s="907"/>
      <c r="F109" s="425">
        <v>2023</v>
      </c>
      <c r="G109" s="425">
        <v>2025</v>
      </c>
      <c r="H109" s="425">
        <f t="shared" ref="H109:I109" si="10">G109+5</f>
        <v>2030</v>
      </c>
      <c r="I109" s="520">
        <f t="shared" si="10"/>
        <v>2035</v>
      </c>
      <c r="J109" s="374">
        <v>2023</v>
      </c>
      <c r="K109" s="375">
        <v>2025</v>
      </c>
      <c r="L109" s="375">
        <v>2030</v>
      </c>
      <c r="M109" s="375">
        <v>2035</v>
      </c>
      <c r="N109" s="376" t="s">
        <v>35</v>
      </c>
      <c r="O109" s="377"/>
      <c r="P109" s="383"/>
      <c r="Q109" s="383"/>
    </row>
    <row r="110" spans="2:27" ht="45" customHeight="1" x14ac:dyDescent="0.35">
      <c r="B110" s="383"/>
      <c r="C110" s="211" t="s">
        <v>93</v>
      </c>
      <c r="D110" s="478" t="s">
        <v>94</v>
      </c>
      <c r="E110" s="385" t="s">
        <v>95</v>
      </c>
      <c r="F110" s="232"/>
      <c r="G110" s="232"/>
      <c r="H110" s="232"/>
      <c r="I110" s="249"/>
      <c r="J110" s="751">
        <f>IFERROR(INDEX(EF!$C$79:$C$117,MATCH($C110,EF!$A$79:$A$117,0)),0)</f>
        <v>0</v>
      </c>
      <c r="K110" s="397">
        <f>IFERROR(INDEX(EF!$C$79:$C$117,MATCH($C110,EF!$A$79:$A$117,0)),0)</f>
        <v>0</v>
      </c>
      <c r="L110" s="397">
        <f>IFERROR(INDEX(EF!$C$79:$C$117,MATCH($C110,EF!$A$79:$A$117,0)),0)</f>
        <v>0</v>
      </c>
      <c r="M110" s="397">
        <f>IFERROR(INDEX(EF!$C$79:$C$117,MATCH($C110,EF!$A$79:$A$117,0)),0)</f>
        <v>0</v>
      </c>
      <c r="N110" s="445" t="s">
        <v>96</v>
      </c>
      <c r="O110" s="95"/>
      <c r="P110" s="383"/>
      <c r="Q110" s="383"/>
    </row>
    <row r="111" spans="2:27" ht="45" customHeight="1" x14ac:dyDescent="0.35">
      <c r="B111" s="383"/>
      <c r="C111" s="211" t="s">
        <v>93</v>
      </c>
      <c r="D111" s="478" t="s">
        <v>94</v>
      </c>
      <c r="E111" s="385" t="s">
        <v>95</v>
      </c>
      <c r="F111" s="232"/>
      <c r="G111" s="232"/>
      <c r="H111" s="232"/>
      <c r="I111" s="249"/>
      <c r="J111" s="751">
        <f>IFERROR(INDEX(EF!$C$79:$C$117,MATCH($C111,EF!$A$79:$A$117,0)),0)</f>
        <v>0</v>
      </c>
      <c r="K111" s="397">
        <f>IFERROR(INDEX(EF!$C$79:$C$117,MATCH($C111,EF!$A$79:$A$117,0)),0)</f>
        <v>0</v>
      </c>
      <c r="L111" s="397">
        <f>IFERROR(INDEX(EF!$C$79:$C$117,MATCH($C111,EF!$A$79:$A$117,0)),0)</f>
        <v>0</v>
      </c>
      <c r="M111" s="397">
        <f>IFERROR(INDEX(EF!$C$79:$C$117,MATCH($C111,EF!$A$79:$A$117,0)),0)</f>
        <v>0</v>
      </c>
      <c r="N111" s="445" t="s">
        <v>96</v>
      </c>
      <c r="O111" s="95"/>
      <c r="P111" s="383"/>
      <c r="Q111" s="383"/>
    </row>
    <row r="112" spans="2:27" ht="45" customHeight="1" x14ac:dyDescent="0.35">
      <c r="B112" s="383"/>
      <c r="C112" s="211" t="s">
        <v>93</v>
      </c>
      <c r="D112" s="478" t="s">
        <v>94</v>
      </c>
      <c r="E112" s="385" t="s">
        <v>95</v>
      </c>
      <c r="F112" s="232"/>
      <c r="G112" s="232"/>
      <c r="H112" s="232"/>
      <c r="I112" s="249"/>
      <c r="J112" s="751">
        <f>IFERROR(INDEX(EF!$C$79:$C$117,MATCH($C112,EF!$A$79:$A$117,0)),0)</f>
        <v>0</v>
      </c>
      <c r="K112" s="397">
        <f>IFERROR(INDEX(EF!$C$79:$C$117,MATCH($C112,EF!$A$79:$A$117,0)),0)</f>
        <v>0</v>
      </c>
      <c r="L112" s="397">
        <f>IFERROR(INDEX(EF!$C$79:$C$117,MATCH($C112,EF!$A$79:$A$117,0)),0)</f>
        <v>0</v>
      </c>
      <c r="M112" s="397">
        <f>IFERROR(INDEX(EF!$C$79:$C$117,MATCH($C112,EF!$A$79:$A$117,0)),0)</f>
        <v>0</v>
      </c>
      <c r="N112" s="445" t="s">
        <v>96</v>
      </c>
      <c r="O112" s="95"/>
      <c r="P112" s="383"/>
      <c r="Q112" s="383"/>
    </row>
    <row r="113" spans="2:27" ht="45" customHeight="1" x14ac:dyDescent="0.35">
      <c r="B113" s="383"/>
      <c r="C113" s="211" t="s">
        <v>93</v>
      </c>
      <c r="D113" s="478" t="s">
        <v>94</v>
      </c>
      <c r="E113" s="385" t="s">
        <v>95</v>
      </c>
      <c r="F113" s="232"/>
      <c r="G113" s="232"/>
      <c r="H113" s="232"/>
      <c r="I113" s="249"/>
      <c r="J113" s="751">
        <f>IFERROR(INDEX(EF!$C$79:$C$117,MATCH($C113,EF!$A$79:$A$117,0)),0)</f>
        <v>0</v>
      </c>
      <c r="K113" s="397">
        <f>IFERROR(INDEX(EF!$C$79:$C$117,MATCH($C113,EF!$A$79:$A$117,0)),0)</f>
        <v>0</v>
      </c>
      <c r="L113" s="397">
        <f>IFERROR(INDEX(EF!$C$79:$C$117,MATCH($C113,EF!$A$79:$A$117,0)),0)</f>
        <v>0</v>
      </c>
      <c r="M113" s="397">
        <f>IFERROR(INDEX(EF!$C$79:$C$117,MATCH($C113,EF!$A$79:$A$117,0)),0)</f>
        <v>0</v>
      </c>
      <c r="N113" s="445" t="s">
        <v>96</v>
      </c>
      <c r="O113" s="95"/>
      <c r="P113" s="383"/>
      <c r="Q113" s="383"/>
    </row>
    <row r="114" spans="2:27" ht="45" customHeight="1" x14ac:dyDescent="0.35">
      <c r="B114" s="383"/>
      <c r="C114" s="211" t="s">
        <v>93</v>
      </c>
      <c r="D114" s="478" t="s">
        <v>94</v>
      </c>
      <c r="E114" s="385" t="s">
        <v>95</v>
      </c>
      <c r="F114" s="232"/>
      <c r="G114" s="232"/>
      <c r="H114" s="232"/>
      <c r="I114" s="249"/>
      <c r="J114" s="751">
        <f>IFERROR(INDEX(EF!$C$79:$C$117,MATCH($C114,EF!$A$79:$A$117,0)),0)</f>
        <v>0</v>
      </c>
      <c r="K114" s="397">
        <f>IFERROR(INDEX(EF!$C$79:$C$117,MATCH($C114,EF!$A$79:$A$117,0)),0)</f>
        <v>0</v>
      </c>
      <c r="L114" s="397">
        <f>IFERROR(INDEX(EF!$C$79:$C$117,MATCH($C114,EF!$A$79:$A$117,0)),0)</f>
        <v>0</v>
      </c>
      <c r="M114" s="397">
        <f>IFERROR(INDEX(EF!$C$79:$C$117,MATCH($C114,EF!$A$79:$A$117,0)),0)</f>
        <v>0</v>
      </c>
      <c r="N114" s="445" t="s">
        <v>96</v>
      </c>
      <c r="O114" s="95"/>
      <c r="P114" s="383"/>
      <c r="Q114" s="383"/>
    </row>
    <row r="115" spans="2:27" ht="45" customHeight="1" x14ac:dyDescent="0.35">
      <c r="B115" s="383"/>
      <c r="C115" s="211" t="s">
        <v>93</v>
      </c>
      <c r="D115" s="478" t="s">
        <v>94</v>
      </c>
      <c r="E115" s="385" t="s">
        <v>95</v>
      </c>
      <c r="F115" s="232"/>
      <c r="G115" s="232"/>
      <c r="H115" s="232"/>
      <c r="I115" s="249"/>
      <c r="J115" s="751">
        <f>IFERROR(INDEX(EF!$C$79:$C$117,MATCH($C115,EF!$A$79:$A$117,0)),0)</f>
        <v>0</v>
      </c>
      <c r="K115" s="397">
        <f>IFERROR(INDEX(EF!$C$79:$C$117,MATCH($C115,EF!$A$79:$A$117,0)),0)</f>
        <v>0</v>
      </c>
      <c r="L115" s="397">
        <f>IFERROR(INDEX(EF!$C$79:$C$117,MATCH($C115,EF!$A$79:$A$117,0)),0)</f>
        <v>0</v>
      </c>
      <c r="M115" s="397">
        <f>IFERROR(INDEX(EF!$C$79:$C$117,MATCH($C115,EF!$A$79:$A$117,0)),0)</f>
        <v>0</v>
      </c>
      <c r="N115" s="445" t="s">
        <v>96</v>
      </c>
      <c r="O115" s="95"/>
      <c r="P115" s="383"/>
      <c r="Q115" s="383"/>
    </row>
    <row r="116" spans="2:27" ht="45" customHeight="1" x14ac:dyDescent="0.35">
      <c r="B116" s="383"/>
      <c r="C116" s="211" t="s">
        <v>93</v>
      </c>
      <c r="D116" s="478" t="s">
        <v>94</v>
      </c>
      <c r="E116" s="385" t="s">
        <v>95</v>
      </c>
      <c r="F116" s="232"/>
      <c r="G116" s="232"/>
      <c r="H116" s="232"/>
      <c r="I116" s="249"/>
      <c r="J116" s="751">
        <f>IFERROR(INDEX(EF!$C$79:$C$117,MATCH($C116,EF!$A$79:$A$117,0)),0)</f>
        <v>0</v>
      </c>
      <c r="K116" s="397">
        <f>IFERROR(INDEX(EF!$C$79:$C$117,MATCH($C116,EF!$A$79:$A$117,0)),0)</f>
        <v>0</v>
      </c>
      <c r="L116" s="397">
        <f>IFERROR(INDEX(EF!$C$79:$C$117,MATCH($C116,EF!$A$79:$A$117,0)),0)</f>
        <v>0</v>
      </c>
      <c r="M116" s="397">
        <f>IFERROR(INDEX(EF!$C$79:$C$117,MATCH($C116,EF!$A$79:$A$117,0)),0)</f>
        <v>0</v>
      </c>
      <c r="N116" s="445" t="s">
        <v>96</v>
      </c>
      <c r="O116" s="95"/>
      <c r="P116" s="383"/>
      <c r="Q116" s="383"/>
      <c r="R116" s="383"/>
    </row>
    <row r="117" spans="2:27" ht="45" customHeight="1" x14ac:dyDescent="0.35">
      <c r="B117" s="383"/>
      <c r="C117" s="211" t="s">
        <v>93</v>
      </c>
      <c r="D117" s="478" t="s">
        <v>94</v>
      </c>
      <c r="E117" s="385" t="s">
        <v>95</v>
      </c>
      <c r="F117" s="234"/>
      <c r="G117" s="234"/>
      <c r="H117" s="234"/>
      <c r="I117" s="262"/>
      <c r="J117" s="751">
        <f>IFERROR(INDEX(EF!$C$79:$C$117,MATCH($C117,EF!$A$79:$A$117,0)),0)</f>
        <v>0</v>
      </c>
      <c r="K117" s="397">
        <f>IFERROR(INDEX(EF!$C$79:$C$117,MATCH($C117,EF!$A$79:$A$117,0)),0)</f>
        <v>0</v>
      </c>
      <c r="L117" s="397">
        <f>IFERROR(INDEX(EF!$C$79:$C$117,MATCH($C117,EF!$A$79:$A$117,0)),0)</f>
        <v>0</v>
      </c>
      <c r="M117" s="397">
        <f>IFERROR(INDEX(EF!$C$79:$C$117,MATCH($C117,EF!$A$79:$A$117,0)),0)</f>
        <v>0</v>
      </c>
      <c r="N117" s="445" t="s">
        <v>96</v>
      </c>
      <c r="O117" s="95"/>
      <c r="P117" s="383"/>
      <c r="Q117" s="383"/>
      <c r="R117" s="383"/>
      <c r="S117" s="383"/>
      <c r="T117" s="383"/>
      <c r="U117" s="383"/>
      <c r="V117" s="383"/>
      <c r="W117" s="383"/>
      <c r="X117" s="383"/>
      <c r="Y117" s="383"/>
      <c r="Z117" s="383"/>
      <c r="AA117" s="383"/>
    </row>
    <row r="118" spans="2:27" ht="45" customHeight="1" x14ac:dyDescent="0.35">
      <c r="B118" s="383"/>
      <c r="C118" s="211" t="s">
        <v>93</v>
      </c>
      <c r="D118" s="478" t="s">
        <v>94</v>
      </c>
      <c r="E118" s="385" t="s">
        <v>95</v>
      </c>
      <c r="F118" s="232"/>
      <c r="G118" s="232"/>
      <c r="H118" s="232"/>
      <c r="I118" s="249"/>
      <c r="J118" s="751">
        <f>IFERROR(INDEX(EF!$C$79:$C$117,MATCH($C118,EF!$A$79:$A$117,0)),0)</f>
        <v>0</v>
      </c>
      <c r="K118" s="397">
        <f>IFERROR(INDEX(EF!$C$79:$C$117,MATCH($C118,EF!$A$79:$A$117,0)),0)</f>
        <v>0</v>
      </c>
      <c r="L118" s="397">
        <f>IFERROR(INDEX(EF!$C$79:$C$117,MATCH($C118,EF!$A$79:$A$117,0)),0)</f>
        <v>0</v>
      </c>
      <c r="M118" s="397">
        <f>IFERROR(INDEX(EF!$C$79:$C$117,MATCH($C118,EF!$A$79:$A$117,0)),0)</f>
        <v>0</v>
      </c>
      <c r="N118" s="445" t="s">
        <v>96</v>
      </c>
      <c r="O118" s="95"/>
      <c r="P118" s="383"/>
      <c r="Q118" s="383"/>
      <c r="R118" s="383"/>
      <c r="S118" s="383"/>
      <c r="T118" s="383"/>
      <c r="U118" s="383"/>
      <c r="V118" s="383"/>
      <c r="W118" s="383"/>
      <c r="X118" s="383"/>
      <c r="Y118" s="383"/>
      <c r="Z118" s="383"/>
      <c r="AA118" s="383"/>
    </row>
    <row r="119" spans="2:27" ht="45" customHeight="1" x14ac:dyDescent="0.35">
      <c r="B119" s="383"/>
      <c r="C119" s="211" t="s">
        <v>93</v>
      </c>
      <c r="D119" s="478" t="s">
        <v>94</v>
      </c>
      <c r="E119" s="385" t="s">
        <v>95</v>
      </c>
      <c r="F119" s="232"/>
      <c r="G119" s="232"/>
      <c r="H119" s="232"/>
      <c r="I119" s="249"/>
      <c r="J119" s="751">
        <f>IFERROR(INDEX(EF!$C$79:$C$117,MATCH($C119,EF!$A$79:$A$117,0)),0)</f>
        <v>0</v>
      </c>
      <c r="K119" s="397">
        <f>IFERROR(INDEX(EF!$C$79:$C$117,MATCH($C119,EF!$A$79:$A$117,0)),0)</f>
        <v>0</v>
      </c>
      <c r="L119" s="397">
        <f>IFERROR(INDEX(EF!$C$79:$C$117,MATCH($C119,EF!$A$79:$A$117,0)),0)</f>
        <v>0</v>
      </c>
      <c r="M119" s="397">
        <f>IFERROR(INDEX(EF!$C$79:$C$117,MATCH($C119,EF!$A$79:$A$117,0)),0)</f>
        <v>0</v>
      </c>
      <c r="N119" s="445" t="s">
        <v>96</v>
      </c>
      <c r="O119" s="95"/>
      <c r="P119" s="383"/>
      <c r="Q119" s="383"/>
      <c r="R119" s="383"/>
      <c r="S119" s="383"/>
      <c r="T119" s="383"/>
      <c r="U119" s="383"/>
      <c r="V119" s="383"/>
      <c r="W119" s="383"/>
      <c r="X119" s="383"/>
      <c r="Y119" s="383"/>
      <c r="Z119" s="383"/>
      <c r="AA119" s="383"/>
    </row>
    <row r="120" spans="2:27" ht="45" customHeight="1" x14ac:dyDescent="0.35">
      <c r="C120" s="869" t="s">
        <v>97</v>
      </c>
      <c r="D120" s="478" t="s">
        <v>98</v>
      </c>
      <c r="E120" s="385" t="s">
        <v>95</v>
      </c>
      <c r="F120" s="232"/>
      <c r="G120" s="232"/>
      <c r="H120" s="232"/>
      <c r="I120" s="249"/>
      <c r="J120" s="212" t="s">
        <v>145</v>
      </c>
      <c r="K120" s="402">
        <f>IF(ISNUMBER(J120),J120,0)</f>
        <v>0</v>
      </c>
      <c r="L120" s="402">
        <f t="shared" ref="L120:M127" si="11">K120</f>
        <v>0</v>
      </c>
      <c r="M120" s="402">
        <f t="shared" si="11"/>
        <v>0</v>
      </c>
      <c r="N120" s="445" t="s">
        <v>96</v>
      </c>
      <c r="O120" s="109" t="s">
        <v>99</v>
      </c>
      <c r="Q120" s="383"/>
      <c r="R120" s="383"/>
      <c r="S120" s="383"/>
      <c r="T120" s="383"/>
      <c r="U120" s="383"/>
      <c r="V120" s="383"/>
      <c r="W120" s="383"/>
      <c r="X120" s="383"/>
      <c r="Y120" s="383"/>
      <c r="Z120" s="383"/>
      <c r="AA120" s="383"/>
    </row>
    <row r="121" spans="2:27" ht="45" customHeight="1" x14ac:dyDescent="0.35">
      <c r="C121" s="869" t="s">
        <v>97</v>
      </c>
      <c r="D121" s="478" t="s">
        <v>98</v>
      </c>
      <c r="E121" s="385" t="s">
        <v>95</v>
      </c>
      <c r="F121" s="232"/>
      <c r="G121" s="232"/>
      <c r="H121" s="232"/>
      <c r="I121" s="249"/>
      <c r="J121" s="212" t="s">
        <v>145</v>
      </c>
      <c r="K121" s="402">
        <f t="shared" ref="K121:K129" si="12">IF(ISNUMBER(J121),J121,0)</f>
        <v>0</v>
      </c>
      <c r="L121" s="402">
        <f t="shared" si="11"/>
        <v>0</v>
      </c>
      <c r="M121" s="402">
        <f t="shared" si="11"/>
        <v>0</v>
      </c>
      <c r="N121" s="445" t="s">
        <v>96</v>
      </c>
      <c r="O121" s="109" t="s">
        <v>99</v>
      </c>
      <c r="Q121" s="383"/>
      <c r="R121" s="383"/>
      <c r="S121" s="383"/>
      <c r="T121" s="383"/>
      <c r="U121" s="383"/>
      <c r="V121" s="383"/>
      <c r="W121" s="383"/>
      <c r="X121" s="383"/>
      <c r="Y121" s="383"/>
      <c r="Z121" s="383"/>
      <c r="AA121" s="383"/>
    </row>
    <row r="122" spans="2:27" ht="45" customHeight="1" x14ac:dyDescent="0.35">
      <c r="B122" s="383"/>
      <c r="C122" s="869" t="s">
        <v>97</v>
      </c>
      <c r="D122" s="478" t="s">
        <v>98</v>
      </c>
      <c r="E122" s="385" t="s">
        <v>95</v>
      </c>
      <c r="F122" s="232"/>
      <c r="G122" s="232"/>
      <c r="H122" s="232"/>
      <c r="I122" s="249"/>
      <c r="J122" s="212" t="s">
        <v>145</v>
      </c>
      <c r="K122" s="402">
        <f t="shared" si="12"/>
        <v>0</v>
      </c>
      <c r="L122" s="402">
        <f t="shared" si="11"/>
        <v>0</v>
      </c>
      <c r="M122" s="402">
        <f t="shared" si="11"/>
        <v>0</v>
      </c>
      <c r="N122" s="445" t="s">
        <v>96</v>
      </c>
      <c r="O122" s="109" t="s">
        <v>99</v>
      </c>
      <c r="P122" s="383"/>
      <c r="Q122" s="383"/>
      <c r="R122" s="383"/>
      <c r="S122" s="383"/>
      <c r="T122" s="383"/>
      <c r="U122" s="383"/>
      <c r="V122" s="383"/>
      <c r="W122" s="383"/>
      <c r="X122" s="383"/>
      <c r="Y122" s="383"/>
      <c r="Z122" s="383"/>
      <c r="AA122" s="383"/>
    </row>
    <row r="123" spans="2:27" ht="45" customHeight="1" x14ac:dyDescent="0.35">
      <c r="B123" s="383"/>
      <c r="C123" s="869" t="s">
        <v>97</v>
      </c>
      <c r="D123" s="478" t="s">
        <v>98</v>
      </c>
      <c r="E123" s="385" t="s">
        <v>95</v>
      </c>
      <c r="F123" s="232"/>
      <c r="G123" s="232"/>
      <c r="H123" s="232"/>
      <c r="I123" s="249"/>
      <c r="J123" s="212" t="s">
        <v>145</v>
      </c>
      <c r="K123" s="402">
        <f t="shared" si="12"/>
        <v>0</v>
      </c>
      <c r="L123" s="402">
        <f t="shared" si="11"/>
        <v>0</v>
      </c>
      <c r="M123" s="402">
        <f t="shared" si="11"/>
        <v>0</v>
      </c>
      <c r="N123" s="445" t="s">
        <v>96</v>
      </c>
      <c r="O123" s="109" t="s">
        <v>99</v>
      </c>
      <c r="P123" s="383"/>
      <c r="Q123" s="383"/>
      <c r="R123" s="383"/>
      <c r="S123" s="383"/>
      <c r="T123" s="383"/>
      <c r="U123" s="383"/>
      <c r="V123" s="383"/>
      <c r="W123" s="383"/>
      <c r="X123" s="383"/>
      <c r="Y123" s="383"/>
      <c r="Z123" s="383"/>
      <c r="AA123" s="383"/>
    </row>
    <row r="124" spans="2:27" ht="45" customHeight="1" x14ac:dyDescent="0.35">
      <c r="B124" s="383"/>
      <c r="C124" s="869" t="s">
        <v>97</v>
      </c>
      <c r="D124" s="478" t="s">
        <v>98</v>
      </c>
      <c r="E124" s="385" t="s">
        <v>95</v>
      </c>
      <c r="F124" s="232"/>
      <c r="G124" s="232"/>
      <c r="H124" s="232"/>
      <c r="I124" s="249"/>
      <c r="J124" s="212" t="s">
        <v>145</v>
      </c>
      <c r="K124" s="402">
        <f t="shared" si="12"/>
        <v>0</v>
      </c>
      <c r="L124" s="402">
        <f t="shared" si="11"/>
        <v>0</v>
      </c>
      <c r="M124" s="402">
        <f t="shared" si="11"/>
        <v>0</v>
      </c>
      <c r="N124" s="445" t="s">
        <v>96</v>
      </c>
      <c r="O124" s="109" t="s">
        <v>99</v>
      </c>
      <c r="P124" s="383"/>
      <c r="Q124" s="383"/>
      <c r="R124" s="383"/>
      <c r="S124" s="383"/>
      <c r="T124" s="383"/>
      <c r="U124" s="383"/>
      <c r="V124" s="383"/>
      <c r="W124" s="383"/>
      <c r="X124" s="383"/>
      <c r="Y124" s="383"/>
      <c r="Z124" s="383"/>
      <c r="AA124" s="383"/>
    </row>
    <row r="125" spans="2:27" ht="45" customHeight="1" x14ac:dyDescent="0.35">
      <c r="B125" s="383"/>
      <c r="C125" s="869" t="s">
        <v>97</v>
      </c>
      <c r="D125" s="478" t="s">
        <v>98</v>
      </c>
      <c r="E125" s="385" t="s">
        <v>95</v>
      </c>
      <c r="F125" s="232"/>
      <c r="G125" s="232"/>
      <c r="H125" s="232"/>
      <c r="I125" s="249"/>
      <c r="J125" s="212" t="s">
        <v>145</v>
      </c>
      <c r="K125" s="402">
        <f t="shared" si="12"/>
        <v>0</v>
      </c>
      <c r="L125" s="402">
        <f t="shared" si="11"/>
        <v>0</v>
      </c>
      <c r="M125" s="402">
        <f t="shared" si="11"/>
        <v>0</v>
      </c>
      <c r="N125" s="445" t="s">
        <v>96</v>
      </c>
      <c r="O125" s="109" t="s">
        <v>99</v>
      </c>
      <c r="P125" s="383"/>
      <c r="Q125" s="383"/>
      <c r="R125" s="383"/>
      <c r="S125" s="383"/>
      <c r="T125" s="383"/>
      <c r="U125" s="383"/>
      <c r="V125" s="383"/>
      <c r="W125" s="383"/>
      <c r="X125" s="383"/>
      <c r="Y125" s="383"/>
      <c r="Z125" s="383"/>
      <c r="AA125" s="383"/>
    </row>
    <row r="126" spans="2:27" ht="45" customHeight="1" x14ac:dyDescent="0.35">
      <c r="B126" s="383"/>
      <c r="C126" s="869" t="s">
        <v>97</v>
      </c>
      <c r="D126" s="478" t="s">
        <v>98</v>
      </c>
      <c r="E126" s="385" t="s">
        <v>95</v>
      </c>
      <c r="F126" s="232"/>
      <c r="G126" s="232"/>
      <c r="H126" s="232"/>
      <c r="I126" s="249"/>
      <c r="J126" s="212" t="s">
        <v>145</v>
      </c>
      <c r="K126" s="402">
        <f t="shared" si="12"/>
        <v>0</v>
      </c>
      <c r="L126" s="402">
        <f t="shared" si="11"/>
        <v>0</v>
      </c>
      <c r="M126" s="402">
        <f t="shared" si="11"/>
        <v>0</v>
      </c>
      <c r="N126" s="445" t="s">
        <v>96</v>
      </c>
      <c r="O126" s="109" t="s">
        <v>99</v>
      </c>
      <c r="P126" s="383"/>
      <c r="Q126" s="383"/>
      <c r="R126" s="383"/>
      <c r="S126" s="383"/>
      <c r="T126" s="383"/>
      <c r="U126" s="383"/>
      <c r="V126" s="383"/>
      <c r="W126" s="383"/>
      <c r="X126" s="383"/>
      <c r="Y126" s="383"/>
      <c r="Z126" s="383"/>
      <c r="AA126" s="383"/>
    </row>
    <row r="127" spans="2:27" ht="45" customHeight="1" x14ac:dyDescent="0.35">
      <c r="B127" s="383"/>
      <c r="C127" s="869" t="s">
        <v>97</v>
      </c>
      <c r="D127" s="478" t="s">
        <v>98</v>
      </c>
      <c r="E127" s="385" t="s">
        <v>95</v>
      </c>
      <c r="F127" s="232"/>
      <c r="G127" s="232"/>
      <c r="H127" s="232"/>
      <c r="I127" s="249"/>
      <c r="J127" s="212" t="s">
        <v>145</v>
      </c>
      <c r="K127" s="402">
        <f t="shared" si="12"/>
        <v>0</v>
      </c>
      <c r="L127" s="402">
        <f t="shared" si="11"/>
        <v>0</v>
      </c>
      <c r="M127" s="402">
        <f t="shared" si="11"/>
        <v>0</v>
      </c>
      <c r="N127" s="445" t="s">
        <v>96</v>
      </c>
      <c r="O127" s="109" t="s">
        <v>99</v>
      </c>
      <c r="P127" s="383"/>
      <c r="Q127" s="383"/>
      <c r="R127" s="383"/>
      <c r="S127" s="383"/>
      <c r="T127" s="383"/>
      <c r="U127" s="383"/>
      <c r="V127" s="383"/>
      <c r="W127" s="383"/>
      <c r="X127" s="383"/>
      <c r="Y127" s="383"/>
      <c r="Z127" s="383"/>
      <c r="AA127" s="383"/>
    </row>
    <row r="128" spans="2:27" ht="45" customHeight="1" x14ac:dyDescent="0.35">
      <c r="B128" s="383"/>
      <c r="C128" s="869" t="s">
        <v>97</v>
      </c>
      <c r="D128" s="478" t="s">
        <v>98</v>
      </c>
      <c r="E128" s="385" t="s">
        <v>95</v>
      </c>
      <c r="F128" s="232"/>
      <c r="G128" s="232"/>
      <c r="H128" s="232"/>
      <c r="I128" s="249"/>
      <c r="J128" s="212" t="s">
        <v>145</v>
      </c>
      <c r="K128" s="402">
        <f t="shared" si="12"/>
        <v>0</v>
      </c>
      <c r="L128" s="402">
        <f t="shared" ref="L128:M129" si="13">K128</f>
        <v>0</v>
      </c>
      <c r="M128" s="402">
        <f t="shared" si="13"/>
        <v>0</v>
      </c>
      <c r="N128" s="445" t="s">
        <v>96</v>
      </c>
      <c r="O128" s="109" t="s">
        <v>99</v>
      </c>
      <c r="P128" s="383"/>
      <c r="Q128" s="383"/>
      <c r="R128" s="453"/>
      <c r="S128" s="383"/>
      <c r="T128" s="383"/>
      <c r="U128" s="383"/>
      <c r="V128" s="383"/>
      <c r="W128" s="383"/>
      <c r="X128" s="383"/>
      <c r="Y128" s="383"/>
      <c r="Z128" s="383"/>
      <c r="AA128" s="383"/>
    </row>
    <row r="129" spans="2:27" ht="45" customHeight="1" thickBot="1" x14ac:dyDescent="0.4">
      <c r="B129" s="383"/>
      <c r="C129" s="870" t="s">
        <v>97</v>
      </c>
      <c r="D129" s="482" t="s">
        <v>98</v>
      </c>
      <c r="E129" s="380" t="s">
        <v>95</v>
      </c>
      <c r="F129" s="236"/>
      <c r="G129" s="236"/>
      <c r="H129" s="236"/>
      <c r="I129" s="250"/>
      <c r="J129" s="213" t="s">
        <v>145</v>
      </c>
      <c r="K129" s="521">
        <f t="shared" si="12"/>
        <v>0</v>
      </c>
      <c r="L129" s="521">
        <f t="shared" si="13"/>
        <v>0</v>
      </c>
      <c r="M129" s="521">
        <f t="shared" si="13"/>
        <v>0</v>
      </c>
      <c r="N129" s="433" t="s">
        <v>96</v>
      </c>
      <c r="O129" s="110" t="s">
        <v>99</v>
      </c>
      <c r="P129" s="383"/>
      <c r="Q129" s="383"/>
      <c r="R129" s="383"/>
      <c r="S129" s="453"/>
      <c r="T129" s="453"/>
      <c r="U129" s="453"/>
      <c r="V129" s="453"/>
      <c r="W129" s="453"/>
      <c r="X129" s="453"/>
      <c r="Y129" s="383"/>
      <c r="Z129" s="383"/>
    </row>
    <row r="130" spans="2:27" ht="45" customHeight="1" x14ac:dyDescent="0.35">
      <c r="O130" s="120"/>
      <c r="Q130" s="383"/>
      <c r="S130" s="383"/>
      <c r="T130" s="383"/>
      <c r="U130" s="383"/>
      <c r="V130" s="383"/>
      <c r="W130" s="383"/>
      <c r="X130" s="383"/>
      <c r="Y130" s="383"/>
      <c r="Z130" s="383"/>
      <c r="AA130" s="383"/>
    </row>
    <row r="131" spans="2:27" ht="45" customHeight="1" thickBot="1" x14ac:dyDescent="0.4">
      <c r="O131" s="120"/>
      <c r="Q131" s="296"/>
    </row>
    <row r="132" spans="2:27" ht="45" customHeight="1" thickBot="1" x14ac:dyDescent="0.55000000000000004">
      <c r="C132" s="362" t="s">
        <v>1201</v>
      </c>
      <c r="D132" s="363"/>
      <c r="E132" s="364"/>
      <c r="F132" s="364"/>
      <c r="G132" s="364"/>
      <c r="H132" s="364"/>
      <c r="I132" s="364"/>
      <c r="J132" s="364"/>
      <c r="K132" s="364"/>
      <c r="L132" s="365"/>
      <c r="M132" s="365"/>
      <c r="N132" s="121"/>
      <c r="O132" s="366" t="s">
        <v>1460</v>
      </c>
      <c r="Q132" s="296"/>
    </row>
    <row r="133" spans="2:27" ht="45" customHeight="1" x14ac:dyDescent="0.35">
      <c r="C133" s="902" t="s">
        <v>100</v>
      </c>
      <c r="D133" s="903"/>
      <c r="E133" s="904"/>
      <c r="F133" s="420" t="s">
        <v>32</v>
      </c>
      <c r="G133" s="936" t="s">
        <v>33</v>
      </c>
      <c r="H133" s="937"/>
      <c r="I133" s="938"/>
      <c r="J133" s="908" t="s">
        <v>34</v>
      </c>
      <c r="K133" s="909"/>
      <c r="L133" s="909"/>
      <c r="M133" s="909"/>
      <c r="N133" s="910"/>
      <c r="O133" s="438" t="s">
        <v>36</v>
      </c>
      <c r="Q133" s="383"/>
    </row>
    <row r="134" spans="2:27" ht="45" customHeight="1" x14ac:dyDescent="0.35">
      <c r="C134" s="905" t="s">
        <v>1357</v>
      </c>
      <c r="D134" s="906"/>
      <c r="E134" s="907"/>
      <c r="F134" s="425">
        <v>2023</v>
      </c>
      <c r="G134" s="425">
        <v>2025</v>
      </c>
      <c r="H134" s="425">
        <f t="shared" ref="H134:I134" si="14">G134+5</f>
        <v>2030</v>
      </c>
      <c r="I134" s="426">
        <f t="shared" si="14"/>
        <v>2035</v>
      </c>
      <c r="J134" s="374">
        <v>2023</v>
      </c>
      <c r="K134" s="375">
        <v>2025</v>
      </c>
      <c r="L134" s="375">
        <v>2030</v>
      </c>
      <c r="M134" s="375">
        <v>2035</v>
      </c>
      <c r="N134" s="376" t="s">
        <v>35</v>
      </c>
      <c r="O134" s="440"/>
    </row>
    <row r="135" spans="2:27" ht="45" customHeight="1" x14ac:dyDescent="0.35">
      <c r="C135" s="384" t="s">
        <v>101</v>
      </c>
      <c r="D135" s="385" t="s">
        <v>1157</v>
      </c>
      <c r="E135" s="385" t="s">
        <v>39</v>
      </c>
      <c r="F135" s="226">
        <f>SUM(F136:F142)</f>
        <v>0</v>
      </c>
      <c r="G135" s="226">
        <f t="shared" ref="G135:I135" si="15">SUM(G136:G142)</f>
        <v>0</v>
      </c>
      <c r="H135" s="226">
        <f t="shared" si="15"/>
        <v>0</v>
      </c>
      <c r="I135" s="226">
        <f t="shared" si="15"/>
        <v>0</v>
      </c>
      <c r="J135" s="919" t="s">
        <v>1358</v>
      </c>
      <c r="K135" s="920"/>
      <c r="L135" s="920"/>
      <c r="M135" s="920"/>
      <c r="N135" s="921"/>
      <c r="O135" s="104"/>
    </row>
    <row r="136" spans="2:27" ht="45" customHeight="1" x14ac:dyDescent="0.35">
      <c r="C136" s="399" t="s">
        <v>44</v>
      </c>
      <c r="D136" s="385" t="s">
        <v>102</v>
      </c>
      <c r="E136" s="385" t="s">
        <v>39</v>
      </c>
      <c r="F136" s="227">
        <f>F33</f>
        <v>0</v>
      </c>
      <c r="G136" s="227">
        <f>G33</f>
        <v>0</v>
      </c>
      <c r="H136" s="227">
        <f>H33</f>
        <v>0</v>
      </c>
      <c r="I136" s="228">
        <f>I33</f>
        <v>0</v>
      </c>
      <c r="J136" s="485">
        <f>IFERROR(INDEX(EF!$D$40:$D$49,MATCH("Naturgas",EF!$A$40:$A$49,0)),"")</f>
        <v>2.3780570454545454E-2</v>
      </c>
      <c r="K136" s="391">
        <f>IFERROR(INDEX(EF!$F$40:$F$49,MATCH("Naturgas",EF!$A$40:$A$49,0)),"")</f>
        <v>2.2506628787878791E-2</v>
      </c>
      <c r="L136" s="391">
        <f>IFERROR(INDEX(EF!$H$40:$H$49,MATCH("Naturgas",EF!$A$40:$A$49,0)),"")</f>
        <v>1.6715984848484852E-2</v>
      </c>
      <c r="M136" s="391">
        <f>IFERROR(INDEX(EF!$J$40:$J$49,MATCH("Naturgas",EF!$A$40:$A$49,0)),"")</f>
        <v>1.6715984848484852E-2</v>
      </c>
      <c r="N136" s="445" t="s">
        <v>42</v>
      </c>
      <c r="O136" s="111"/>
      <c r="R136" s="383"/>
    </row>
    <row r="137" spans="2:27" ht="45" customHeight="1" x14ac:dyDescent="0.35">
      <c r="C137" s="399" t="s">
        <v>49</v>
      </c>
      <c r="D137" s="385" t="s">
        <v>102</v>
      </c>
      <c r="E137" s="385" t="s">
        <v>39</v>
      </c>
      <c r="F137" s="227">
        <f t="shared" ref="F137:I139" si="16">F35</f>
        <v>0</v>
      </c>
      <c r="G137" s="227">
        <f t="shared" si="16"/>
        <v>0</v>
      </c>
      <c r="H137" s="227">
        <f t="shared" si="16"/>
        <v>0</v>
      </c>
      <c r="I137" s="228">
        <f t="shared" si="16"/>
        <v>0</v>
      </c>
      <c r="J137" s="485">
        <f>IFERROR(INDEX(EF!$D$40:$D$49,MATCH("Fyringsolie (gasolie)",EF!$A$40:$A$49,0)),"")</f>
        <v>6.2044554455445551E-2</v>
      </c>
      <c r="K137" s="391">
        <f>IFERROR(INDEX(EF!$F$40:$F$49,MATCH("Fyringsolie (gasolie)",EF!$A$40:$A$49,0)),"")</f>
        <v>6.2079207920792079E-2</v>
      </c>
      <c r="L137" s="391">
        <f>IFERROR(INDEX(EF!$H$40:$H$49,MATCH("Fyringsolie (gasolie)",EF!$A$40:$A$49,0)),0)</f>
        <v>6.2079207920792079E-2</v>
      </c>
      <c r="M137" s="391">
        <f>IFERROR(INDEX(EF!$J$40:$J$49,MATCH("Fyringsolie (gasolie)",EF!$A$40:$A$49,0)),"")</f>
        <v>6.2079207920792079E-2</v>
      </c>
      <c r="N137" s="445" t="s">
        <v>42</v>
      </c>
      <c r="O137" s="111"/>
      <c r="R137" s="383"/>
      <c r="S137" s="123"/>
      <c r="T137" s="123"/>
      <c r="U137" s="123"/>
      <c r="V137" s="123"/>
      <c r="W137" s="126"/>
      <c r="X137" s="383"/>
      <c r="Y137" s="413"/>
      <c r="Z137" s="413"/>
      <c r="AA137" s="413"/>
    </row>
    <row r="138" spans="2:27" ht="45" customHeight="1" x14ac:dyDescent="0.35">
      <c r="C138" s="399" t="str">
        <f>C36</f>
        <v>Købt fuelolie</v>
      </c>
      <c r="D138" s="385" t="s">
        <v>103</v>
      </c>
      <c r="E138" s="385" t="s">
        <v>39</v>
      </c>
      <c r="F138" s="227">
        <f t="shared" si="16"/>
        <v>0</v>
      </c>
      <c r="G138" s="227">
        <f t="shared" si="16"/>
        <v>0</v>
      </c>
      <c r="H138" s="227">
        <f t="shared" si="16"/>
        <v>0</v>
      </c>
      <c r="I138" s="228">
        <f t="shared" si="16"/>
        <v>0</v>
      </c>
      <c r="J138" s="485">
        <f>IFERROR(INDEX(EF!$D$40:$D$49,MATCH("Fuelolie",EF!$A$40:$A$49,0)),0)</f>
        <v>6.2647747747747742E-2</v>
      </c>
      <c r="K138" s="391">
        <f>IFERROR(INDEX(EF!$F$40:$F$49,MATCH("fuelolie",EF!$A$40:$A$49,0)),0)</f>
        <v>6.2612612612612611E-2</v>
      </c>
      <c r="L138" s="391">
        <f>IFERROR(INDEX(EF!$H$40:$H$49,MATCH("fuelolie",EF!$A$40:$A$49,0)),0)</f>
        <v>6.2612612612612611E-2</v>
      </c>
      <c r="M138" s="391">
        <f>IFERROR(INDEX(EF!$J$40:$J$49,MATCH("fuelolie",EF!$A$40:$A$49,0)),0)</f>
        <v>6.2612612612612611E-2</v>
      </c>
      <c r="N138" s="445" t="s">
        <v>42</v>
      </c>
      <c r="O138" s="111"/>
      <c r="R138" s="383"/>
      <c r="S138" s="123"/>
      <c r="T138" s="123"/>
      <c r="U138" s="123"/>
      <c r="V138" s="123"/>
      <c r="W138" s="126"/>
      <c r="X138" s="383"/>
      <c r="Y138" s="413"/>
      <c r="Z138" s="413"/>
      <c r="AA138" s="413"/>
    </row>
    <row r="139" spans="2:27" ht="45" customHeight="1" x14ac:dyDescent="0.35">
      <c r="B139" s="383"/>
      <c r="C139" s="487" t="s">
        <v>52</v>
      </c>
      <c r="D139" s="385" t="s">
        <v>102</v>
      </c>
      <c r="E139" s="385" t="s">
        <v>39</v>
      </c>
      <c r="F139" s="227">
        <f t="shared" si="16"/>
        <v>0</v>
      </c>
      <c r="G139" s="227">
        <f t="shared" si="16"/>
        <v>0</v>
      </c>
      <c r="H139" s="227">
        <f t="shared" si="16"/>
        <v>0</v>
      </c>
      <c r="I139" s="228">
        <f t="shared" si="16"/>
        <v>0</v>
      </c>
      <c r="J139" s="229" t="s">
        <v>104</v>
      </c>
      <c r="K139" s="391">
        <f>IF(ISNUMBER(J139),J139,0)</f>
        <v>0</v>
      </c>
      <c r="L139" s="391">
        <f t="shared" ref="L139:M139" si="17">IF(ISNUMBER(K139),K139,"")</f>
        <v>0</v>
      </c>
      <c r="M139" s="391">
        <f t="shared" si="17"/>
        <v>0</v>
      </c>
      <c r="N139" s="445" t="s">
        <v>42</v>
      </c>
      <c r="O139" s="111"/>
      <c r="R139" s="383"/>
      <c r="S139" s="123"/>
      <c r="T139" s="123"/>
      <c r="U139" s="123"/>
      <c r="V139" s="123"/>
      <c r="W139" s="126"/>
      <c r="X139" s="383"/>
      <c r="Y139" s="413"/>
      <c r="Z139" s="413"/>
      <c r="AA139" s="413"/>
    </row>
    <row r="140" spans="2:27" ht="45" customHeight="1" x14ac:dyDescent="0.35">
      <c r="C140" s="487" t="s">
        <v>58</v>
      </c>
      <c r="D140" s="385" t="s">
        <v>102</v>
      </c>
      <c r="E140" s="385" t="s">
        <v>39</v>
      </c>
      <c r="F140" s="227">
        <f t="shared" ref="F140:I142" si="18">F39</f>
        <v>0</v>
      </c>
      <c r="G140" s="227">
        <f t="shared" si="18"/>
        <v>0</v>
      </c>
      <c r="H140" s="227">
        <f t="shared" si="18"/>
        <v>0</v>
      </c>
      <c r="I140" s="228">
        <f t="shared" si="18"/>
        <v>0</v>
      </c>
      <c r="J140" s="485">
        <f>IFERROR(INDEX(EF!$D$40:$D$49,MATCH("Træpiller",EF!$A$40:$A$49,0)),"")</f>
        <v>3.6419753086419752E-2</v>
      </c>
      <c r="K140" s="391">
        <f>IFERROR(INDEX(EF!$F$40:$F$49,MATCH("Træpiller",EF!$A$40:$A$49,0)),"")</f>
        <v>3.6419753086419752E-2</v>
      </c>
      <c r="L140" s="391">
        <f>IFERROR(INDEX(EF!$H$40:$H$49,MATCH("Træpiller",EF!$A$40:$A$49,0)),"")</f>
        <v>3.6419753086419752E-2</v>
      </c>
      <c r="M140" s="391">
        <f>IFERROR(INDEX(EF!$J$40:$J$49,MATCH("Træpiller",EF!$A$40:$A$49,0)),"")</f>
        <v>3.6419753086419752E-2</v>
      </c>
      <c r="N140" s="445" t="s">
        <v>42</v>
      </c>
      <c r="O140" s="111"/>
      <c r="R140" s="383"/>
      <c r="S140" s="123"/>
      <c r="T140" s="123"/>
      <c r="U140" s="123"/>
      <c r="V140" s="123"/>
      <c r="W140" s="126"/>
      <c r="X140" s="383"/>
      <c r="Y140" s="413"/>
      <c r="Z140" s="413"/>
      <c r="AA140" s="413"/>
    </row>
    <row r="141" spans="2:27" ht="45" customHeight="1" x14ac:dyDescent="0.35">
      <c r="C141" s="487" t="s">
        <v>61</v>
      </c>
      <c r="D141" s="385" t="s">
        <v>102</v>
      </c>
      <c r="E141" s="385" t="s">
        <v>39</v>
      </c>
      <c r="F141" s="227">
        <f t="shared" si="18"/>
        <v>0</v>
      </c>
      <c r="G141" s="227">
        <f t="shared" si="18"/>
        <v>0</v>
      </c>
      <c r="H141" s="227">
        <f t="shared" si="18"/>
        <v>0</v>
      </c>
      <c r="I141" s="228">
        <f t="shared" si="18"/>
        <v>0</v>
      </c>
      <c r="J141" s="485">
        <f>IFERROR(INDEX(EF!$D$40:$D$49,MATCH("Træflis",EF!$A$40:$A$49,0)),"")</f>
        <v>1.0519031141868512E-2</v>
      </c>
      <c r="K141" s="391">
        <f>IFERROR(INDEX(EF!$F$40:$F$49,MATCH("Træflis",EF!$A$40:$A$49,0)),"")</f>
        <v>1.0519031141868512E-2</v>
      </c>
      <c r="L141" s="391">
        <f>IFERROR(INDEX(EF!$H$40:$H$49,MATCH("Træflis",EF!$A$40:$A$49,0)),"")</f>
        <v>1.0519031141868512E-2</v>
      </c>
      <c r="M141" s="391">
        <f>IFERROR(INDEX(EF!$J$40:$J$49,MATCH("Træflis",EF!$A$40:$A$49,0)),"")</f>
        <v>1.0519031141868512E-2</v>
      </c>
      <c r="N141" s="445" t="s">
        <v>42</v>
      </c>
      <c r="O141" s="111"/>
      <c r="R141" s="383"/>
      <c r="S141" s="123"/>
      <c r="T141" s="123"/>
      <c r="U141" s="123"/>
      <c r="V141" s="123"/>
      <c r="W141" s="126"/>
      <c r="X141" s="383"/>
      <c r="Y141" s="413"/>
      <c r="Z141" s="413"/>
      <c r="AA141" s="413"/>
    </row>
    <row r="142" spans="2:27" ht="45" customHeight="1" x14ac:dyDescent="0.35">
      <c r="C142" s="487" t="s">
        <v>64</v>
      </c>
      <c r="D142" s="385" t="s">
        <v>102</v>
      </c>
      <c r="E142" s="385" t="s">
        <v>39</v>
      </c>
      <c r="F142" s="227">
        <f t="shared" si="18"/>
        <v>0</v>
      </c>
      <c r="G142" s="227">
        <f t="shared" si="18"/>
        <v>0</v>
      </c>
      <c r="H142" s="227">
        <f t="shared" si="18"/>
        <v>0</v>
      </c>
      <c r="I142" s="228">
        <f t="shared" si="18"/>
        <v>0</v>
      </c>
      <c r="J142" s="485">
        <f>IFERROR(INDEX(EF!$D$40:$D$49,MATCH("Halm",EF!$A$40:$A$49,0)),"")</f>
        <v>1.7034739454094294E-2</v>
      </c>
      <c r="K142" s="391">
        <f>IFERROR(INDEX(EF!$F$40:$F$49,MATCH("Halm",EF!$A$40:$A$49,0)),"")</f>
        <v>1.7047146401985111E-2</v>
      </c>
      <c r="L142" s="391">
        <f>IFERROR(INDEX(EF!$H$40:$H$49,MATCH("halm",EF!$A$40:$A$49,0)),"")</f>
        <v>1.7047146401985111E-2</v>
      </c>
      <c r="M142" s="391">
        <f>IFERROR(INDEX(EF!$J$40:$J$49,MATCH("halm",EF!$A$40:$A$49,0)),"")</f>
        <v>1.7047146401985111E-2</v>
      </c>
      <c r="N142" s="445" t="s">
        <v>42</v>
      </c>
      <c r="O142" s="111"/>
      <c r="R142" s="383"/>
      <c r="S142" s="383"/>
      <c r="T142" s="383"/>
      <c r="U142" s="383"/>
      <c r="V142" s="383"/>
      <c r="W142" s="383"/>
      <c r="X142" s="383"/>
      <c r="Y142" s="383"/>
      <c r="Z142" s="383"/>
      <c r="AA142" s="383"/>
    </row>
    <row r="143" spans="2:27" ht="45" customHeight="1" x14ac:dyDescent="0.35">
      <c r="C143" s="488" t="s">
        <v>105</v>
      </c>
      <c r="D143" s="385" t="s">
        <v>1158</v>
      </c>
      <c r="E143" s="385" t="s">
        <v>81</v>
      </c>
      <c r="F143" s="227">
        <f>SUM(F144:F145)</f>
        <v>0</v>
      </c>
      <c r="G143" s="227">
        <f t="shared" ref="G143:I143" si="19">SUM(G144:G145)</f>
        <v>0</v>
      </c>
      <c r="H143" s="227">
        <f t="shared" si="19"/>
        <v>0</v>
      </c>
      <c r="I143" s="227">
        <f t="shared" si="19"/>
        <v>0</v>
      </c>
      <c r="J143" s="919" t="s">
        <v>1358</v>
      </c>
      <c r="K143" s="920"/>
      <c r="L143" s="920"/>
      <c r="M143" s="920"/>
      <c r="N143" s="921"/>
      <c r="O143" s="111"/>
      <c r="R143" s="383"/>
      <c r="S143" s="383"/>
      <c r="T143" s="383"/>
      <c r="U143" s="383"/>
      <c r="V143" s="383"/>
      <c r="W143" s="383"/>
      <c r="X143" s="383"/>
      <c r="Y143" s="383"/>
      <c r="Z143" s="383"/>
      <c r="AA143" s="383"/>
    </row>
    <row r="144" spans="2:27" ht="45" customHeight="1" x14ac:dyDescent="0.35">
      <c r="C144" s="489" t="s">
        <v>79</v>
      </c>
      <c r="D144" s="385" t="s">
        <v>102</v>
      </c>
      <c r="E144" s="385" t="s">
        <v>81</v>
      </c>
      <c r="F144" s="227" t="str">
        <f>IF(ISNUMBER(F70),F70,"")</f>
        <v/>
      </c>
      <c r="G144" s="227">
        <f t="shared" ref="G144:I145" si="20">G70</f>
        <v>0</v>
      </c>
      <c r="H144" s="227">
        <f t="shared" si="20"/>
        <v>0</v>
      </c>
      <c r="I144" s="228">
        <f t="shared" si="20"/>
        <v>0</v>
      </c>
      <c r="J144" s="490">
        <f>IFERROR(INDEX(EF!$D$24:$D$33,MATCH("Diesel",EF!A$24:$A$33,0)),"")</f>
        <v>0.62409000000000003</v>
      </c>
      <c r="K144" s="391">
        <f>IFERROR(INDEX(EF!$F$24:$F$33,MATCH("Diesel",EF!$A$24:$A$33,0)),"")</f>
        <v>0.62409000000000003</v>
      </c>
      <c r="L144" s="391">
        <f>IFERROR(INDEX(EF!$H$24:$H$33,MATCH("Diesel",EF!$A$24:$A$33,0)),"")</f>
        <v>0.62409000000000003</v>
      </c>
      <c r="M144" s="391">
        <f>IFERROR(INDEX(EF!$J$24:$J$33,MATCH("Diesel",EF!$A$24:$A$33,0)),"")</f>
        <v>0.62409000000000003</v>
      </c>
      <c r="N144" s="445" t="s">
        <v>42</v>
      </c>
      <c r="O144" s="111"/>
      <c r="Q144" s="481"/>
      <c r="R144" s="383"/>
      <c r="S144" s="383"/>
      <c r="T144" s="383"/>
      <c r="U144" s="383"/>
      <c r="V144" s="383"/>
      <c r="W144" s="383"/>
      <c r="X144" s="383"/>
      <c r="Y144" s="383"/>
      <c r="Z144" s="383"/>
      <c r="AA144" s="383"/>
    </row>
    <row r="145" spans="1:27" ht="45" customHeight="1" x14ac:dyDescent="0.35">
      <c r="C145" s="399" t="s">
        <v>84</v>
      </c>
      <c r="D145" s="385" t="s">
        <v>102</v>
      </c>
      <c r="E145" s="385" t="s">
        <v>81</v>
      </c>
      <c r="F145" s="227" t="str">
        <f>IF(ISNUMBER(F71),F71,"")</f>
        <v/>
      </c>
      <c r="G145" s="227">
        <f t="shared" si="20"/>
        <v>0</v>
      </c>
      <c r="H145" s="227">
        <f t="shared" si="20"/>
        <v>0</v>
      </c>
      <c r="I145" s="228">
        <f t="shared" si="20"/>
        <v>0</v>
      </c>
      <c r="J145" s="490">
        <f>IFERROR(INDEX(EF!$D$24:$D$33,MATCH("Benzin",EF!A$24:$A$33,0)),"")</f>
        <v>0.60663999999999996</v>
      </c>
      <c r="K145" s="391">
        <f>IFERROR(INDEX(EF!$F$24:$F$33,MATCH("Benzin",EF!$A$24:$A$33,0)),"")</f>
        <v>0.60663999999999996</v>
      </c>
      <c r="L145" s="391">
        <f>IFERROR(INDEX(EF!$H$24:$H$33,MATCH("Benzin",EF!$A$24:$A$33,0)),"")</f>
        <v>0.60663999999999996</v>
      </c>
      <c r="M145" s="391">
        <f>IFERROR(INDEX(EF!$J$24:$J$33,MATCH("Benzin",EF!$A$24:$A$33,0)),"")</f>
        <v>0.60663999999999996</v>
      </c>
      <c r="N145" s="445" t="s">
        <v>42</v>
      </c>
      <c r="O145" s="111"/>
      <c r="Q145" s="481"/>
      <c r="R145" s="383"/>
      <c r="S145" s="383"/>
      <c r="T145" s="383"/>
      <c r="U145" s="383"/>
      <c r="V145" s="383"/>
      <c r="W145" s="383"/>
      <c r="X145" s="383"/>
      <c r="Y145" s="383"/>
      <c r="Z145" s="383"/>
      <c r="AA145" s="383"/>
    </row>
    <row r="146" spans="1:27" ht="45" customHeight="1" x14ac:dyDescent="0.35">
      <c r="C146" s="548" t="s">
        <v>40</v>
      </c>
      <c r="D146" s="385" t="s">
        <v>106</v>
      </c>
      <c r="E146" s="385" t="s">
        <v>39</v>
      </c>
      <c r="F146" s="227">
        <f>F84</f>
        <v>0</v>
      </c>
      <c r="G146" s="227">
        <f>G84</f>
        <v>0</v>
      </c>
      <c r="H146" s="227">
        <f>H84</f>
        <v>0</v>
      </c>
      <c r="I146" s="228">
        <f>I84</f>
        <v>0</v>
      </c>
      <c r="J146" s="490">
        <f>J84*0.25</f>
        <v>1.1967016354500596E-2</v>
      </c>
      <c r="K146" s="391">
        <f>K84*0.25</f>
        <v>9.2392910906094316E-3</v>
      </c>
      <c r="L146" s="391">
        <f>L84*0.25</f>
        <v>4.7235525124099242E-3</v>
      </c>
      <c r="M146" s="391">
        <f>M84*0.25</f>
        <v>2.9349081850544405E-3</v>
      </c>
      <c r="N146" s="445" t="s">
        <v>42</v>
      </c>
      <c r="O146" s="111"/>
      <c r="Q146" s="481"/>
      <c r="R146" s="383"/>
      <c r="S146" s="383"/>
      <c r="T146" s="383"/>
      <c r="U146" s="383"/>
      <c r="V146" s="383"/>
      <c r="W146" s="383"/>
      <c r="X146" s="383"/>
      <c r="Y146" s="383"/>
      <c r="Z146" s="383"/>
      <c r="AA146" s="383"/>
    </row>
    <row r="147" spans="1:27" ht="45" customHeight="1" thickBot="1" x14ac:dyDescent="0.4">
      <c r="C147" s="549" t="s">
        <v>87</v>
      </c>
      <c r="D147" s="380" t="s">
        <v>106</v>
      </c>
      <c r="E147" s="380" t="s">
        <v>39</v>
      </c>
      <c r="F147" s="230">
        <f>F90</f>
        <v>0</v>
      </c>
      <c r="G147" s="230">
        <f>G90</f>
        <v>0</v>
      </c>
      <c r="H147" s="230">
        <f>H90</f>
        <v>0</v>
      </c>
      <c r="I147" s="231">
        <f>I90</f>
        <v>0</v>
      </c>
      <c r="J147" s="493">
        <f>IF(D89="DK øst",EF!D54,EF!D55)</f>
        <v>5.8930000000000003E-2</v>
      </c>
      <c r="K147" s="465">
        <f>IF(D89="DK øst",EF!F54,EF!F55)</f>
        <v>5.781E-2</v>
      </c>
      <c r="L147" s="465">
        <f>IF(D89="DK øst",EF!H54,EF!H55)</f>
        <v>5.7020000000000001E-2</v>
      </c>
      <c r="M147" s="465">
        <f>IF(D89="DK øst",EF!J54,EF!J55)</f>
        <v>5.6919999999999998E-2</v>
      </c>
      <c r="N147" s="433" t="s">
        <v>42</v>
      </c>
      <c r="O147" s="112"/>
      <c r="Q147" s="481"/>
      <c r="R147" s="383"/>
      <c r="S147" s="383"/>
      <c r="T147" s="383"/>
      <c r="U147" s="383"/>
      <c r="V147" s="383"/>
      <c r="W147" s="383"/>
      <c r="X147" s="383"/>
      <c r="Y147" s="383"/>
      <c r="Z147" s="383"/>
      <c r="AA147" s="383"/>
    </row>
    <row r="148" spans="1:27" ht="45" customHeight="1" x14ac:dyDescent="0.35">
      <c r="O148" s="120"/>
      <c r="Q148" s="481"/>
      <c r="R148" s="383"/>
      <c r="S148" s="383"/>
      <c r="T148" s="383"/>
      <c r="U148" s="383"/>
      <c r="V148" s="383"/>
      <c r="W148" s="383"/>
      <c r="X148" s="383"/>
      <c r="Y148" s="383"/>
      <c r="Z148" s="383"/>
      <c r="AA148" s="383"/>
    </row>
    <row r="149" spans="1:27" ht="45" customHeight="1" thickBot="1" x14ac:dyDescent="0.4">
      <c r="O149" s="120"/>
      <c r="Q149" s="481"/>
      <c r="R149" s="383"/>
      <c r="S149" s="383"/>
      <c r="T149" s="383"/>
      <c r="U149" s="383"/>
      <c r="V149" s="383"/>
      <c r="W149" s="383"/>
      <c r="X149" s="383"/>
      <c r="Y149" s="383"/>
      <c r="Z149" s="383"/>
      <c r="AA149" s="383"/>
    </row>
    <row r="150" spans="1:27" ht="45" customHeight="1" thickBot="1" x14ac:dyDescent="0.55000000000000004">
      <c r="B150" s="383"/>
      <c r="C150" s="362" t="s">
        <v>172</v>
      </c>
      <c r="D150" s="363"/>
      <c r="E150" s="364"/>
      <c r="F150" s="364"/>
      <c r="G150" s="364"/>
      <c r="H150" s="364"/>
      <c r="I150" s="364"/>
      <c r="J150" s="417"/>
      <c r="K150" s="417"/>
      <c r="L150" s="418"/>
      <c r="M150" s="418"/>
      <c r="N150" s="419"/>
      <c r="O150" s="366" t="s">
        <v>1461</v>
      </c>
      <c r="P150" s="383"/>
      <c r="Q150" s="481"/>
      <c r="R150" s="383"/>
      <c r="S150" s="383"/>
      <c r="T150" s="383"/>
      <c r="U150" s="383"/>
      <c r="V150" s="383"/>
      <c r="W150" s="383"/>
      <c r="X150" s="383"/>
      <c r="Y150" s="383"/>
      <c r="Z150" s="383"/>
      <c r="AA150" s="383"/>
    </row>
    <row r="151" spans="1:27" ht="45" customHeight="1" x14ac:dyDescent="0.35">
      <c r="B151" s="383"/>
      <c r="C151" s="902" t="s">
        <v>173</v>
      </c>
      <c r="D151" s="903"/>
      <c r="E151" s="904"/>
      <c r="F151" s="367" t="s">
        <v>32</v>
      </c>
      <c r="G151" s="421"/>
      <c r="H151" s="369" t="s">
        <v>33</v>
      </c>
      <c r="I151" s="422"/>
      <c r="J151" s="908" t="s">
        <v>34</v>
      </c>
      <c r="K151" s="909"/>
      <c r="L151" s="909"/>
      <c r="M151" s="909"/>
      <c r="N151" s="910"/>
      <c r="O151" s="438" t="s">
        <v>36</v>
      </c>
      <c r="P151" s="383"/>
      <c r="Q151" s="481"/>
      <c r="R151" s="383"/>
      <c r="S151" s="383"/>
      <c r="T151" s="383"/>
      <c r="U151" s="383"/>
      <c r="V151" s="383"/>
      <c r="W151" s="383"/>
      <c r="X151" s="383"/>
      <c r="Y151" s="383"/>
      <c r="Z151" s="383"/>
      <c r="AA151" s="383"/>
    </row>
    <row r="152" spans="1:27" ht="45" customHeight="1" x14ac:dyDescent="0.35">
      <c r="B152" s="383"/>
      <c r="C152" s="468"/>
      <c r="D152" s="457"/>
      <c r="E152" s="458"/>
      <c r="F152" s="425">
        <v>2023</v>
      </c>
      <c r="G152" s="425">
        <v>2025</v>
      </c>
      <c r="H152" s="425">
        <f t="shared" ref="H152:I152" si="21">G152+5</f>
        <v>2030</v>
      </c>
      <c r="I152" s="426">
        <f t="shared" si="21"/>
        <v>2035</v>
      </c>
      <c r="J152" s="374">
        <v>2023</v>
      </c>
      <c r="K152" s="375">
        <v>2025</v>
      </c>
      <c r="L152" s="375">
        <v>2030</v>
      </c>
      <c r="M152" s="375">
        <v>2035</v>
      </c>
      <c r="N152" s="376" t="s">
        <v>35</v>
      </c>
      <c r="O152" s="440"/>
      <c r="P152" s="383"/>
      <c r="Q152" s="481"/>
      <c r="R152" s="383"/>
      <c r="S152" s="383"/>
      <c r="T152" s="383"/>
      <c r="U152" s="383"/>
      <c r="V152" s="383"/>
      <c r="W152" s="383"/>
      <c r="X152" s="383"/>
      <c r="Y152" s="383"/>
      <c r="Z152" s="383"/>
      <c r="AA152" s="383"/>
    </row>
    <row r="153" spans="1:27" ht="45" customHeight="1" x14ac:dyDescent="0.35">
      <c r="B153" s="383"/>
      <c r="C153" s="473" t="s">
        <v>174</v>
      </c>
      <c r="D153" s="385" t="s">
        <v>175</v>
      </c>
      <c r="E153" s="385" t="s">
        <v>162</v>
      </c>
      <c r="F153" s="214">
        <f>IF(ISNUMBER(INDEX('Data SPV rens'!$X$5:$X$109,MATCH(Renseanlæg!$C$2,'Data SPV rens'!$A$5:$A$109,0))),INDEX('Data SPV rens'!$X$5:$X$109,MATCH(Renseanlæg!$C$2,'Data SPV rens'!$A$5:$A$109,0)),0)</f>
        <v>0</v>
      </c>
      <c r="G153" s="86"/>
      <c r="H153" s="86"/>
      <c r="I153" s="98"/>
      <c r="J153" s="479">
        <f>EF!$C$68</f>
        <v>2.1</v>
      </c>
      <c r="K153" s="480">
        <f>EF!D68</f>
        <v>2.1</v>
      </c>
      <c r="L153" s="480">
        <f>EF!E68</f>
        <v>2.1</v>
      </c>
      <c r="M153" s="480">
        <f>EF!F68</f>
        <v>2.1</v>
      </c>
      <c r="N153" s="445" t="s">
        <v>176</v>
      </c>
      <c r="O153" s="104"/>
      <c r="P153" s="383"/>
      <c r="Q153" s="481"/>
      <c r="R153" s="383"/>
      <c r="S153" s="383"/>
      <c r="T153" s="383"/>
      <c r="U153" s="383"/>
      <c r="V153" s="383"/>
      <c r="W153" s="383"/>
      <c r="X153" s="383"/>
      <c r="Y153" s="383"/>
      <c r="Z153" s="383"/>
      <c r="AA153" s="383"/>
    </row>
    <row r="154" spans="1:27" ht="45" customHeight="1" x14ac:dyDescent="0.35">
      <c r="B154" s="383"/>
      <c r="C154" s="473" t="s">
        <v>177</v>
      </c>
      <c r="D154" s="385" t="s">
        <v>178</v>
      </c>
      <c r="E154" s="385" t="s">
        <v>162</v>
      </c>
      <c r="F154" s="214">
        <f>IF(ISNUMBER(INDEX('Data SPV rens'!$Y$5:$Y$109,MATCH(Renseanlæg!$C$2,'Data SPV rens'!$A$5:$A$109,0))),INDEX('Data SPV rens'!$Y$5:$Y$109,MATCH(Renseanlæg!$C$2,'Data SPV rens'!$A$5:$A$109,0)),0)</f>
        <v>0</v>
      </c>
      <c r="G154" s="86"/>
      <c r="H154" s="86"/>
      <c r="I154" s="98"/>
      <c r="J154" s="479">
        <f>EF!$C68</f>
        <v>2.1</v>
      </c>
      <c r="K154" s="480">
        <f>EF!$C68</f>
        <v>2.1</v>
      </c>
      <c r="L154" s="480">
        <f>EF!$C68</f>
        <v>2.1</v>
      </c>
      <c r="M154" s="480">
        <f>EF!$C68</f>
        <v>2.1</v>
      </c>
      <c r="N154" s="445" t="s">
        <v>176</v>
      </c>
      <c r="O154" s="104"/>
      <c r="P154" s="383"/>
      <c r="Q154" s="481"/>
      <c r="S154" s="383"/>
      <c r="T154" s="383"/>
      <c r="U154" s="383"/>
      <c r="V154" s="383"/>
      <c r="W154" s="383"/>
      <c r="X154" s="383"/>
      <c r="Y154" s="383"/>
      <c r="Z154" s="383"/>
      <c r="AA154" s="383"/>
    </row>
    <row r="155" spans="1:27" ht="45" customHeight="1" thickBot="1" x14ac:dyDescent="0.4">
      <c r="B155" s="383"/>
      <c r="C155" s="550" t="s">
        <v>179</v>
      </c>
      <c r="D155" s="380" t="s">
        <v>180</v>
      </c>
      <c r="E155" s="380" t="s">
        <v>162</v>
      </c>
      <c r="F155" s="216">
        <f>IF(ISNUMBER(INDEX('Data SPV rens'!$Z$5:$Z$109,MATCH(Renseanlæg!$C$2,'Data SPV rens'!$A$5:$A$109,0))),INDEX('Data SPV rens'!$Z$5:$Z$109,MATCH(Renseanlæg!$C$2,'Data SPV rens'!$A$5:$A$109,0)),0)</f>
        <v>0</v>
      </c>
      <c r="G155" s="263"/>
      <c r="H155" s="263"/>
      <c r="I155" s="264"/>
      <c r="J155" s="469">
        <f>EF!$C68</f>
        <v>2.1</v>
      </c>
      <c r="K155" s="470">
        <f>EF!$C68</f>
        <v>2.1</v>
      </c>
      <c r="L155" s="470">
        <f>EF!$C68</f>
        <v>2.1</v>
      </c>
      <c r="M155" s="470">
        <f>EF!$C68</f>
        <v>2.1</v>
      </c>
      <c r="N155" s="433" t="s">
        <v>176</v>
      </c>
      <c r="O155" s="108"/>
      <c r="P155" s="383"/>
      <c r="Q155" s="383"/>
      <c r="R155" s="383"/>
    </row>
    <row r="156" spans="1:27" ht="45" customHeight="1" x14ac:dyDescent="0.35">
      <c r="B156" s="383"/>
      <c r="C156" s="383"/>
      <c r="D156" s="383"/>
      <c r="E156" s="383"/>
      <c r="F156" s="383"/>
      <c r="G156" s="383"/>
      <c r="H156" s="383"/>
      <c r="I156" s="383"/>
      <c r="J156" s="383"/>
      <c r="K156" s="383"/>
      <c r="L156" s="383"/>
      <c r="M156" s="383"/>
      <c r="O156" s="389"/>
      <c r="P156" s="383"/>
      <c r="Q156" s="453"/>
      <c r="R156" s="383"/>
      <c r="S156" s="383"/>
      <c r="T156" s="383"/>
      <c r="U156" s="383"/>
      <c r="V156" s="383"/>
      <c r="W156" s="383"/>
      <c r="X156" s="383"/>
      <c r="Y156" s="383"/>
      <c r="Z156" s="383"/>
      <c r="AA156" s="383"/>
    </row>
    <row r="157" spans="1:27" ht="45" customHeight="1" thickBot="1" x14ac:dyDescent="0.4">
      <c r="O157" s="120"/>
      <c r="Q157" s="383"/>
      <c r="R157" s="383"/>
      <c r="S157" s="383"/>
      <c r="T157" s="383"/>
      <c r="U157" s="383"/>
      <c r="V157" s="383"/>
      <c r="W157" s="383"/>
      <c r="X157" s="383"/>
      <c r="Y157" s="383"/>
      <c r="Z157" s="383"/>
      <c r="AA157" s="383"/>
    </row>
    <row r="158" spans="1:27" ht="45" customHeight="1" thickBot="1" x14ac:dyDescent="0.55000000000000004">
      <c r="A158" s="3"/>
      <c r="B158" s="383"/>
      <c r="C158" s="362" t="s">
        <v>1305</v>
      </c>
      <c r="D158" s="363"/>
      <c r="E158" s="364"/>
      <c r="F158" s="364"/>
      <c r="G158" s="364"/>
      <c r="H158" s="364"/>
      <c r="I158" s="364"/>
      <c r="J158" s="417"/>
      <c r="K158" s="417"/>
      <c r="L158" s="418"/>
      <c r="M158" s="418"/>
      <c r="N158" s="419"/>
      <c r="O158" s="366" t="s">
        <v>1462</v>
      </c>
      <c r="P158" s="383"/>
      <c r="S158" s="383"/>
      <c r="T158" s="383"/>
      <c r="U158" s="383"/>
      <c r="V158" s="383"/>
      <c r="W158" s="383"/>
      <c r="X158" s="383"/>
      <c r="Y158" s="383"/>
      <c r="Z158" s="383"/>
      <c r="AA158" s="383"/>
    </row>
    <row r="159" spans="1:27" ht="45" customHeight="1" x14ac:dyDescent="0.35">
      <c r="B159" s="383"/>
      <c r="C159" s="902" t="s">
        <v>181</v>
      </c>
      <c r="D159" s="903"/>
      <c r="E159" s="904"/>
      <c r="F159" s="420" t="s">
        <v>32</v>
      </c>
      <c r="G159" s="368"/>
      <c r="H159" s="422" t="s">
        <v>33</v>
      </c>
      <c r="I159" s="422"/>
      <c r="J159" s="908" t="s">
        <v>34</v>
      </c>
      <c r="K159" s="909"/>
      <c r="L159" s="909"/>
      <c r="M159" s="909"/>
      <c r="N159" s="910"/>
      <c r="O159" s="438" t="s">
        <v>36</v>
      </c>
      <c r="P159" s="383"/>
    </row>
    <row r="160" spans="1:27" ht="45" customHeight="1" x14ac:dyDescent="0.35">
      <c r="B160" s="383"/>
      <c r="C160" s="905" t="s">
        <v>1525</v>
      </c>
      <c r="D160" s="906"/>
      <c r="E160" s="907"/>
      <c r="F160" s="425">
        <v>2023</v>
      </c>
      <c r="G160" s="425">
        <v>2025</v>
      </c>
      <c r="H160" s="425">
        <f t="shared" ref="H160" si="22">G160+5</f>
        <v>2030</v>
      </c>
      <c r="I160" s="426">
        <f t="shared" ref="I160" si="23">H160+5</f>
        <v>2035</v>
      </c>
      <c r="J160" s="374" t="s">
        <v>182</v>
      </c>
      <c r="K160" s="375" t="s">
        <v>183</v>
      </c>
      <c r="L160" s="375"/>
      <c r="M160" s="375"/>
      <c r="N160" s="551" t="s">
        <v>35</v>
      </c>
      <c r="O160" s="440"/>
      <c r="P160" s="383"/>
    </row>
    <row r="161" spans="1:27" ht="45" customHeight="1" x14ac:dyDescent="0.35">
      <c r="B161" s="383"/>
      <c r="C161" s="99" t="s">
        <v>1164</v>
      </c>
      <c r="D161" s="552" t="str">
        <f>IFERROR(INDEX(EF!$B$127:$B$150, MATCH(C161, EF!$A$127:$A$150, 0)) &amp; " til " &amp; INDEX(EF!$C$127:$C$150, MATCH(C161, EF!$A$127:$A$150, 0)),"")</f>
        <v/>
      </c>
      <c r="E161" s="385" t="s">
        <v>184</v>
      </c>
      <c r="F161" s="215"/>
      <c r="G161" s="86"/>
      <c r="H161" s="86"/>
      <c r="I161" s="98"/>
      <c r="J161" s="553">
        <f>IFERROR(INDEX(EF!$D$127:$D$150,MATCH($C161,EF!$A$127:$A$150,0)),0)</f>
        <v>0</v>
      </c>
      <c r="K161" s="554">
        <f>IFERROR(INDEX(EF!$E$127:$E$150,MATCH($C161,EF!$A$127:$A$150,0)),0)</f>
        <v>0</v>
      </c>
      <c r="L161" s="385"/>
      <c r="M161" s="385"/>
      <c r="N161" s="445" t="s">
        <v>185</v>
      </c>
      <c r="O161" s="104"/>
      <c r="P161" s="383"/>
    </row>
    <row r="162" spans="1:27" ht="45" customHeight="1" x14ac:dyDescent="0.35">
      <c r="A162" s="3"/>
      <c r="B162" s="383"/>
      <c r="C162" s="99" t="s">
        <v>1164</v>
      </c>
      <c r="D162" s="552" t="str">
        <f>IFERROR(INDEX(EF!$B$127:$B$150, MATCH(C162, EF!$A$127:$A$150, 0)) &amp; " til " &amp; INDEX(EF!$C$127:$C$150, MATCH(C162, EF!$A$127:$A$150, 0)),"")</f>
        <v/>
      </c>
      <c r="E162" s="385" t="s">
        <v>184</v>
      </c>
      <c r="F162" s="215"/>
      <c r="G162" s="86"/>
      <c r="H162" s="86"/>
      <c r="I162" s="98"/>
      <c r="J162" s="553">
        <f>IFERROR(INDEX(EF!$D$127:$D$150,MATCH($C162,EF!$A$127:$A$150,0)),0)</f>
        <v>0</v>
      </c>
      <c r="K162" s="554">
        <f>IFERROR(INDEX(EF!$E$127:$E$150,MATCH($C162,EF!$A$127:$A$150,0)),0)</f>
        <v>0</v>
      </c>
      <c r="L162" s="385"/>
      <c r="M162" s="385"/>
      <c r="N162" s="445" t="s">
        <v>185</v>
      </c>
      <c r="O162" s="104"/>
      <c r="P162" s="383"/>
    </row>
    <row r="163" spans="1:27" ht="45" customHeight="1" x14ac:dyDescent="0.35">
      <c r="B163" s="383"/>
      <c r="C163" s="99" t="s">
        <v>1164</v>
      </c>
      <c r="D163" s="552" t="str">
        <f>IFERROR(INDEX(EF!$B$127:$B$150, MATCH(C163, EF!$A$127:$A$150, 0)) &amp; " til " &amp; INDEX(EF!$C$127:$C$150, MATCH(C163, EF!$A$127:$A$150, 0)),"")</f>
        <v/>
      </c>
      <c r="E163" s="385" t="s">
        <v>184</v>
      </c>
      <c r="F163" s="265"/>
      <c r="G163" s="86"/>
      <c r="H163" s="86"/>
      <c r="I163" s="98"/>
      <c r="J163" s="553">
        <f>IFERROR(INDEX(EF!$D$127:$D$150,MATCH($C163,EF!$A$127:$A$150,0)),0)</f>
        <v>0</v>
      </c>
      <c r="K163" s="554">
        <f>IFERROR(INDEX(EF!$E$127:$E$150,MATCH($C163,EF!$A$127:$A$150,0)),0)</f>
        <v>0</v>
      </c>
      <c r="L163" s="385"/>
      <c r="M163" s="385"/>
      <c r="N163" s="445" t="s">
        <v>185</v>
      </c>
      <c r="O163" s="104"/>
      <c r="P163" s="383"/>
    </row>
    <row r="164" spans="1:27" ht="45" customHeight="1" x14ac:dyDescent="0.35">
      <c r="B164" s="383"/>
      <c r="C164" s="99" t="s">
        <v>1164</v>
      </c>
      <c r="D164" s="552" t="str">
        <f>IFERROR(INDEX(EF!$B$127:$B$150, MATCH(C164, EF!$A$127:$A$150, 0)) &amp; " til " &amp; INDEX(EF!$C$127:$C$150, MATCH(C164, EF!$A$127:$A$150, 0)),"")</f>
        <v/>
      </c>
      <c r="E164" s="385" t="s">
        <v>184</v>
      </c>
      <c r="F164" s="265"/>
      <c r="G164" s="86"/>
      <c r="H164" s="86"/>
      <c r="I164" s="98"/>
      <c r="J164" s="553">
        <f>IFERROR(INDEX(EF!$D$127:$D$150,MATCH($C164,EF!$A$127:$A$150,0)),0)</f>
        <v>0</v>
      </c>
      <c r="K164" s="554">
        <f>IFERROR(INDEX(EF!$E$127:$E$150,MATCH($C164,EF!$A$127:$A$150,0)),0)</f>
        <v>0</v>
      </c>
      <c r="L164" s="385"/>
      <c r="M164" s="385"/>
      <c r="N164" s="445" t="s">
        <v>185</v>
      </c>
      <c r="O164" s="104"/>
      <c r="P164" s="383"/>
      <c r="Q164" s="415"/>
    </row>
    <row r="165" spans="1:27" ht="45" customHeight="1" x14ac:dyDescent="0.35">
      <c r="B165" s="383"/>
      <c r="C165" s="99" t="s">
        <v>1164</v>
      </c>
      <c r="D165" s="552" t="str">
        <f>IFERROR(INDEX(EF!$B$127:$B$150, MATCH(C165, EF!$A$127:$A$150, 0)) &amp; " til " &amp; INDEX(EF!$C$127:$C$150, MATCH(C165, EF!$A$127:$A$150, 0)),"")</f>
        <v/>
      </c>
      <c r="E165" s="385" t="s">
        <v>184</v>
      </c>
      <c r="F165" s="215"/>
      <c r="G165" s="86"/>
      <c r="H165" s="86"/>
      <c r="I165" s="98"/>
      <c r="J165" s="553">
        <f>IFERROR(INDEX(EF!$D$127:$D$150,MATCH($C165,EF!$A$127:$A$150,0)),0)</f>
        <v>0</v>
      </c>
      <c r="K165" s="554">
        <f>IFERROR(INDEX(EF!$E$127:$E$150,MATCH($C165,EF!$A$127:$A$150,0)),0)</f>
        <v>0</v>
      </c>
      <c r="L165" s="385"/>
      <c r="M165" s="385"/>
      <c r="N165" s="445" t="s">
        <v>185</v>
      </c>
      <c r="O165" s="104"/>
      <c r="P165" s="383"/>
      <c r="Q165" s="415"/>
    </row>
    <row r="166" spans="1:27" ht="45" customHeight="1" x14ac:dyDescent="0.35">
      <c r="B166" s="383"/>
      <c r="C166" s="99" t="s">
        <v>1164</v>
      </c>
      <c r="D166" s="552" t="str">
        <f>IFERROR(INDEX(EF!$B$127:$B$150, MATCH(C166, EF!$A$127:$A$150, 0)) &amp; " til " &amp; INDEX(EF!$C$127:$C$150, MATCH(C166, EF!$A$127:$A$150, 0)),"")</f>
        <v/>
      </c>
      <c r="E166" s="385" t="s">
        <v>184</v>
      </c>
      <c r="F166" s="215"/>
      <c r="G166" s="86"/>
      <c r="H166" s="86"/>
      <c r="I166" s="98"/>
      <c r="J166" s="553">
        <f>IFERROR(INDEX(EF!$D$127:$D$150,MATCH($C166,EF!$A$127:$A$150,0)),0)</f>
        <v>0</v>
      </c>
      <c r="K166" s="554">
        <f>IFERROR(INDEX(EF!$E$127:$E$150,MATCH($C166,EF!$A$127:$A$150,0)),0)</f>
        <v>0</v>
      </c>
      <c r="L166" s="385"/>
      <c r="M166" s="385"/>
      <c r="N166" s="445" t="s">
        <v>185</v>
      </c>
      <c r="O166" s="104"/>
      <c r="P166" s="383"/>
      <c r="Q166" s="415"/>
    </row>
    <row r="167" spans="1:27" ht="45" customHeight="1" x14ac:dyDescent="0.35">
      <c r="A167" s="3"/>
      <c r="B167" s="383"/>
      <c r="C167" s="99" t="s">
        <v>1164</v>
      </c>
      <c r="D167" s="552" t="str">
        <f>IFERROR(INDEX(EF!$B$127:$B$150, MATCH(C167, EF!$A$127:$A$150, 0)) &amp; " til " &amp; INDEX(EF!$C$127:$C$150, MATCH(C167, EF!$A$127:$A$150, 0)),"")</f>
        <v/>
      </c>
      <c r="E167" s="385" t="s">
        <v>184</v>
      </c>
      <c r="F167" s="265"/>
      <c r="G167" s="86"/>
      <c r="H167" s="86"/>
      <c r="I167" s="98"/>
      <c r="J167" s="553">
        <f>IFERROR(INDEX(EF!$D$127:$D$150,MATCH($C167,EF!$A$127:$A$150,0)),0)</f>
        <v>0</v>
      </c>
      <c r="K167" s="554">
        <f>IFERROR(INDEX(EF!$E$127:$E$150,MATCH($C167,EF!$A$127:$A$150,0)),0)</f>
        <v>0</v>
      </c>
      <c r="L167" s="385"/>
      <c r="M167" s="385"/>
      <c r="N167" s="445" t="s">
        <v>185</v>
      </c>
      <c r="O167" s="104"/>
      <c r="P167" s="383"/>
      <c r="Q167" s="415"/>
      <c r="R167" s="383"/>
    </row>
    <row r="168" spans="1:27" ht="45" customHeight="1" x14ac:dyDescent="0.35">
      <c r="B168" s="383"/>
      <c r="C168" s="99" t="s">
        <v>1164</v>
      </c>
      <c r="D168" s="552" t="str">
        <f>IFERROR(INDEX(EF!$B$127:$B$150, MATCH(C168, EF!$A$127:$A$150, 0)) &amp; " til " &amp; INDEX(EF!$C$127:$C$150, MATCH(C168, EF!$A$127:$A$150, 0)),"")</f>
        <v/>
      </c>
      <c r="E168" s="385" t="s">
        <v>184</v>
      </c>
      <c r="F168" s="215"/>
      <c r="G168" s="86"/>
      <c r="H168" s="86"/>
      <c r="I168" s="98"/>
      <c r="J168" s="553">
        <f>IFERROR(INDEX(EF!$D$127:$D$150,MATCH($C168,EF!$A$127:$A$150,0)),0)</f>
        <v>0</v>
      </c>
      <c r="K168" s="554">
        <f>IFERROR(INDEX(EF!$E$127:$E$150,MATCH($C168,EF!$A$127:$A$150,0)),0)</f>
        <v>0</v>
      </c>
      <c r="L168" s="385"/>
      <c r="M168" s="385"/>
      <c r="N168" s="445" t="s">
        <v>185</v>
      </c>
      <c r="O168" s="104"/>
      <c r="P168" s="383"/>
      <c r="Q168" s="415"/>
      <c r="S168" s="383"/>
      <c r="T168" s="383"/>
      <c r="U168" s="383"/>
      <c r="V168" s="383"/>
      <c r="W168" s="383"/>
      <c r="X168" s="383"/>
      <c r="Y168" s="383"/>
      <c r="Z168" s="383"/>
      <c r="AA168" s="383"/>
    </row>
    <row r="169" spans="1:27" ht="45" customHeight="1" x14ac:dyDescent="0.35">
      <c r="B169" s="383"/>
      <c r="C169" s="99" t="s">
        <v>1164</v>
      </c>
      <c r="D169" s="552" t="str">
        <f>IFERROR(INDEX(EF!$B$127:$B$150, MATCH(C169, EF!$A$127:$A$150, 0)) &amp; " til " &amp; INDEX(EF!$C$127:$C$150, MATCH(C169, EF!$A$127:$A$150, 0)),"")</f>
        <v/>
      </c>
      <c r="E169" s="385" t="s">
        <v>184</v>
      </c>
      <c r="F169" s="215"/>
      <c r="G169" s="86"/>
      <c r="H169" s="86"/>
      <c r="I169" s="98"/>
      <c r="J169" s="553">
        <f>IFERROR(INDEX(EF!$D$127:$D$150,MATCH($C169,EF!$A$127:$A$150,0)),0)</f>
        <v>0</v>
      </c>
      <c r="K169" s="554">
        <f>IFERROR(INDEX(EF!$E$127:$E$150,MATCH($C169,EF!$A$127:$A$150,0)),0)</f>
        <v>0</v>
      </c>
      <c r="L169" s="385"/>
      <c r="M169" s="385"/>
      <c r="N169" s="445" t="s">
        <v>185</v>
      </c>
      <c r="O169" s="104"/>
      <c r="P169" s="383"/>
      <c r="Q169" s="383"/>
      <c r="R169" s="453"/>
    </row>
    <row r="170" spans="1:27" ht="45" customHeight="1" thickBot="1" x14ac:dyDescent="0.4">
      <c r="B170" s="383"/>
      <c r="C170" s="100" t="s">
        <v>1164</v>
      </c>
      <c r="D170" s="432" t="str">
        <f>IFERROR(INDEX(EF!$B$127:$B$150, MATCH(C170, EF!$A$127:$A$150, 0)) &amp; " til " &amp; INDEX(EF!$C$127:$C$150, MATCH(C170, EF!$A$127:$A$150, 0)),"")</f>
        <v/>
      </c>
      <c r="E170" s="555" t="s">
        <v>184</v>
      </c>
      <c r="F170" s="218"/>
      <c r="G170" s="218"/>
      <c r="H170" s="218"/>
      <c r="I170" s="219"/>
      <c r="J170" s="556">
        <f>IFERROR(INDEX(EF!$D$127:$D$150,MATCH($C170,EF!$A$127:$A$150,0)),0)</f>
        <v>0</v>
      </c>
      <c r="K170" s="557">
        <f>IFERROR(INDEX(EF!$E$127:$E$150,MATCH($C170,EF!$A$127:$A$150,0)),0)</f>
        <v>0</v>
      </c>
      <c r="L170" s="380"/>
      <c r="M170" s="380"/>
      <c r="N170" s="433" t="s">
        <v>185</v>
      </c>
      <c r="O170" s="108"/>
      <c r="P170" s="383"/>
      <c r="Q170" s="383"/>
      <c r="S170" s="453"/>
      <c r="T170" s="453"/>
      <c r="U170" s="453"/>
      <c r="V170" s="453"/>
      <c r="W170" s="453"/>
      <c r="X170" s="453"/>
      <c r="Y170" s="383"/>
      <c r="Z170" s="383"/>
    </row>
    <row r="171" spans="1:27" ht="45" customHeight="1" x14ac:dyDescent="0.35">
      <c r="B171" s="383"/>
      <c r="C171" s="414"/>
      <c r="D171" s="414"/>
      <c r="E171" s="383"/>
      <c r="F171" s="123"/>
      <c r="G171" s="123"/>
      <c r="H171" s="123"/>
      <c r="I171" s="123"/>
      <c r="J171" s="413"/>
      <c r="K171" s="383"/>
      <c r="L171" s="413"/>
      <c r="M171" s="413"/>
      <c r="O171" s="414"/>
      <c r="P171" s="383"/>
      <c r="Q171" s="383"/>
    </row>
    <row r="172" spans="1:27" ht="45" customHeight="1" x14ac:dyDescent="0.35">
      <c r="B172" s="383"/>
      <c r="C172" s="383"/>
      <c r="D172" s="383"/>
      <c r="E172" s="383"/>
      <c r="F172" s="383"/>
      <c r="G172" s="383"/>
      <c r="H172" s="383"/>
      <c r="I172" s="383"/>
      <c r="J172" s="383"/>
      <c r="K172" s="383"/>
      <c r="L172" s="383"/>
      <c r="M172" s="383"/>
      <c r="O172" s="389"/>
      <c r="P172" s="383"/>
      <c r="Q172" s="383"/>
    </row>
    <row r="173" spans="1:27" ht="45" customHeight="1" x14ac:dyDescent="0.5">
      <c r="B173" s="450" t="s">
        <v>1472</v>
      </c>
      <c r="C173" s="476"/>
      <c r="D173" s="476"/>
      <c r="E173" s="476"/>
      <c r="F173" s="476"/>
      <c r="G173" s="476"/>
      <c r="H173" s="476"/>
      <c r="I173" s="476"/>
      <c r="J173" s="476"/>
      <c r="K173" s="476"/>
      <c r="L173" s="476"/>
      <c r="M173" s="476"/>
      <c r="N173" s="476"/>
      <c r="O173" s="477"/>
      <c r="P173" s="476"/>
      <c r="Q173" s="383"/>
    </row>
    <row r="174" spans="1:27" ht="45" customHeight="1" x14ac:dyDescent="0.35">
      <c r="B174" s="383"/>
      <c r="C174" s="383"/>
      <c r="D174" s="383"/>
      <c r="E174" s="383"/>
      <c r="F174" s="383"/>
      <c r="G174" s="383"/>
      <c r="H174" s="383"/>
      <c r="I174" s="383"/>
      <c r="J174" s="383"/>
      <c r="K174" s="383"/>
      <c r="L174" s="383"/>
      <c r="M174" s="383"/>
      <c r="O174" s="389"/>
      <c r="P174" s="383"/>
      <c r="Q174" s="383"/>
    </row>
    <row r="175" spans="1:27" ht="45" customHeight="1" thickBot="1" x14ac:dyDescent="0.4">
      <c r="O175" s="120"/>
      <c r="Q175" s="383"/>
    </row>
    <row r="176" spans="1:27" ht="45" customHeight="1" thickBot="1" x14ac:dyDescent="0.55000000000000004">
      <c r="B176" s="383"/>
      <c r="C176" s="362" t="s">
        <v>186</v>
      </c>
      <c r="D176" s="363"/>
      <c r="E176" s="364"/>
      <c r="F176" s="364"/>
      <c r="G176" s="364"/>
      <c r="H176" s="364"/>
      <c r="I176" s="364"/>
      <c r="J176" s="364"/>
      <c r="K176" s="364"/>
      <c r="L176" s="365"/>
      <c r="M176" s="365"/>
      <c r="N176" s="121"/>
      <c r="O176" s="366" t="s">
        <v>1463</v>
      </c>
      <c r="P176" s="383"/>
      <c r="Q176" s="383"/>
    </row>
    <row r="177" spans="2:17" ht="45" customHeight="1" x14ac:dyDescent="0.35">
      <c r="B177" s="383"/>
      <c r="C177" s="902" t="s">
        <v>187</v>
      </c>
      <c r="D177" s="903"/>
      <c r="E177" s="904"/>
      <c r="F177" s="367" t="s">
        <v>32</v>
      </c>
      <c r="G177" s="368"/>
      <c r="H177" s="369" t="s">
        <v>33</v>
      </c>
      <c r="I177" s="369"/>
      <c r="J177" s="908" t="s">
        <v>34</v>
      </c>
      <c r="K177" s="909"/>
      <c r="L177" s="909"/>
      <c r="M177" s="909"/>
      <c r="N177" s="910"/>
      <c r="O177" s="423" t="s">
        <v>36</v>
      </c>
      <c r="P177" s="383"/>
      <c r="Q177" s="383"/>
    </row>
    <row r="178" spans="2:17" ht="45" customHeight="1" x14ac:dyDescent="0.35">
      <c r="B178" s="383"/>
      <c r="C178" s="905" t="s">
        <v>1484</v>
      </c>
      <c r="D178" s="906"/>
      <c r="E178" s="907"/>
      <c r="F178" s="425">
        <v>2023</v>
      </c>
      <c r="G178" s="425">
        <v>2025</v>
      </c>
      <c r="H178" s="425">
        <f t="shared" ref="H178" si="24">G178+5</f>
        <v>2030</v>
      </c>
      <c r="I178" s="426">
        <f t="shared" ref="I178" si="25">H178+5</f>
        <v>2035</v>
      </c>
      <c r="J178" s="558">
        <v>2023</v>
      </c>
      <c r="K178" s="425">
        <v>2025</v>
      </c>
      <c r="L178" s="425">
        <f t="shared" ref="L178" si="26">K178+5</f>
        <v>2030</v>
      </c>
      <c r="M178" s="425">
        <f t="shared" ref="M178" si="27">L178+5</f>
        <v>2035</v>
      </c>
      <c r="N178" s="551" t="s">
        <v>35</v>
      </c>
      <c r="O178" s="377"/>
      <c r="P178" s="383"/>
      <c r="Q178" s="383"/>
    </row>
    <row r="179" spans="2:17" ht="45" customHeight="1" x14ac:dyDescent="0.35">
      <c r="B179" s="733" t="str">
        <f>IF(OR(ISNUMBER(SEARCH("slamtype 5.1c",C179)), ISNUMBER(SEARCH("slamtype 5.2c",C179))), "OBS! Disponering c: anden udnyttelse. Indtast selv EF for kulstoflagring i kolonne J-M. Negativt fortegn","")</f>
        <v/>
      </c>
      <c r="C179" s="427" t="str">
        <f>IF(C161="Slamtype (drop-down)","Slamtype",C161&amp;" "&amp;"- kulstoflagring")</f>
        <v>Slamtype</v>
      </c>
      <c r="D179" s="428" t="str">
        <f>IFERROR(INDEX(EF!$B$127:$B$150, MATCH(C161, EF!$A$127:$A$150, 0)) &amp; " til " &amp; INDEX(EF!$C$127:$C$150, MATCH(C161, EF!$A$127:$A$150, 0)),"")</f>
        <v/>
      </c>
      <c r="E179" s="385" t="s">
        <v>184</v>
      </c>
      <c r="F179" s="266">
        <f>F161</f>
        <v>0</v>
      </c>
      <c r="G179" s="266">
        <f t="shared" ref="G179:I179" si="28">G161</f>
        <v>0</v>
      </c>
      <c r="H179" s="266">
        <f t="shared" si="28"/>
        <v>0</v>
      </c>
      <c r="I179" s="267">
        <f t="shared" si="28"/>
        <v>0</v>
      </c>
      <c r="J179" s="523">
        <f>IFERROR(INDEX(EF!$F$127:$F$150,MATCH($C161,EF!$A$127:$A$150,0)),0)</f>
        <v>0</v>
      </c>
      <c r="K179" s="554">
        <f>IF(ISNUMBER(J179),J179,0)</f>
        <v>0</v>
      </c>
      <c r="L179" s="554">
        <f t="shared" ref="L179:M179" si="29">K179</f>
        <v>0</v>
      </c>
      <c r="M179" s="554">
        <f t="shared" si="29"/>
        <v>0</v>
      </c>
      <c r="N179" s="445" t="s">
        <v>185</v>
      </c>
      <c r="O179" s="94"/>
      <c r="P179" s="383"/>
      <c r="Q179" s="383"/>
    </row>
    <row r="180" spans="2:17" ht="45" customHeight="1" x14ac:dyDescent="0.35">
      <c r="B180" s="733" t="str">
        <f t="shared" ref="B180:B188" si="30">IF(OR(ISNUMBER(SEARCH("slamtype 5.1c",C180)), ISNUMBER(SEARCH("slamtype 5.2c",C180))), "OBS! Disponering c: anden udnyttelse. Indtast selv EF for kulstoflagring i kolonne J-M. Negativt fortegn","")</f>
        <v/>
      </c>
      <c r="C180" s="427" t="str">
        <f t="shared" ref="C180:C188" si="31">IF(C162="Slamtype (drop-down)","Slamtype",C162&amp;" "&amp;"- kulstoflagring")</f>
        <v>Slamtype</v>
      </c>
      <c r="D180" s="428" t="str">
        <f>IFERROR(INDEX(EF!$B$127:$B$150, MATCH(C162, EF!$A$127:$A$150, 0)) &amp; " til " &amp; INDEX(EF!$C$127:$C$150, MATCH(C162, EF!$A$127:$A$150, 0)),"")</f>
        <v/>
      </c>
      <c r="E180" s="385" t="s">
        <v>184</v>
      </c>
      <c r="F180" s="266">
        <f t="shared" ref="F180:I180" si="32">F162</f>
        <v>0</v>
      </c>
      <c r="G180" s="266">
        <f t="shared" si="32"/>
        <v>0</v>
      </c>
      <c r="H180" s="266">
        <f t="shared" si="32"/>
        <v>0</v>
      </c>
      <c r="I180" s="267">
        <f t="shared" si="32"/>
        <v>0</v>
      </c>
      <c r="J180" s="523">
        <f>IFERROR(INDEX(EF!$F$127:$F$150,MATCH($C162,EF!$A$127:$A$150,0)),0)</f>
        <v>0</v>
      </c>
      <c r="K180" s="554">
        <f t="shared" ref="K180:K188" si="33">IF(ISNUMBER(J180),J180,0)</f>
        <v>0</v>
      </c>
      <c r="L180" s="554">
        <f t="shared" ref="L180:M180" si="34">K180</f>
        <v>0</v>
      </c>
      <c r="M180" s="554">
        <f t="shared" si="34"/>
        <v>0</v>
      </c>
      <c r="N180" s="445" t="s">
        <v>185</v>
      </c>
      <c r="O180" s="94"/>
      <c r="P180" s="383"/>
      <c r="Q180" s="383"/>
    </row>
    <row r="181" spans="2:17" ht="45" customHeight="1" x14ac:dyDescent="0.35">
      <c r="B181" s="733" t="str">
        <f t="shared" si="30"/>
        <v/>
      </c>
      <c r="C181" s="427" t="str">
        <f t="shared" si="31"/>
        <v>Slamtype</v>
      </c>
      <c r="D181" s="428" t="str">
        <f>IFERROR(INDEX(EF!$B$127:$B$150, MATCH(C163, EF!$A$127:$A$150, 0)) &amp; " til " &amp; INDEX(EF!$C$127:$C$150, MATCH(C163, EF!$A$127:$A$150, 0)),"")</f>
        <v/>
      </c>
      <c r="E181" s="385" t="s">
        <v>184</v>
      </c>
      <c r="F181" s="266">
        <f t="shared" ref="F181:I181" si="35">F163</f>
        <v>0</v>
      </c>
      <c r="G181" s="266">
        <f t="shared" si="35"/>
        <v>0</v>
      </c>
      <c r="H181" s="266">
        <f t="shared" si="35"/>
        <v>0</v>
      </c>
      <c r="I181" s="267">
        <f t="shared" si="35"/>
        <v>0</v>
      </c>
      <c r="J181" s="523">
        <f>IFERROR(INDEX(EF!$F$127:$F$150,MATCH($C163,EF!$A$127:$A$150,0)),0)</f>
        <v>0</v>
      </c>
      <c r="K181" s="554">
        <f t="shared" si="33"/>
        <v>0</v>
      </c>
      <c r="L181" s="554">
        <f t="shared" ref="L181:M181" si="36">K181</f>
        <v>0</v>
      </c>
      <c r="M181" s="554">
        <f t="shared" si="36"/>
        <v>0</v>
      </c>
      <c r="N181" s="445" t="s">
        <v>185</v>
      </c>
      <c r="O181" s="94"/>
      <c r="P181" s="383"/>
      <c r="Q181" s="383"/>
    </row>
    <row r="182" spans="2:17" ht="45" customHeight="1" x14ac:dyDescent="0.35">
      <c r="B182" s="733" t="str">
        <f t="shared" si="30"/>
        <v/>
      </c>
      <c r="C182" s="427" t="str">
        <f t="shared" si="31"/>
        <v>Slamtype</v>
      </c>
      <c r="D182" s="428" t="str">
        <f>IFERROR(INDEX(EF!$B$127:$B$150, MATCH(C164, EF!$A$127:$A$150, 0)) &amp; " til " &amp; INDEX(EF!$C$127:$C$150, MATCH(C164, EF!$A$127:$A$150, 0)),"")</f>
        <v/>
      </c>
      <c r="E182" s="385" t="s">
        <v>184</v>
      </c>
      <c r="F182" s="266">
        <f t="shared" ref="F182:I182" si="37">F164</f>
        <v>0</v>
      </c>
      <c r="G182" s="266">
        <f t="shared" si="37"/>
        <v>0</v>
      </c>
      <c r="H182" s="266">
        <f t="shared" si="37"/>
        <v>0</v>
      </c>
      <c r="I182" s="267">
        <f t="shared" si="37"/>
        <v>0</v>
      </c>
      <c r="J182" s="523">
        <f>IFERROR(INDEX(EF!$F$127:$F$150,MATCH($C164,EF!$A$127:$A$150,0)),0)</f>
        <v>0</v>
      </c>
      <c r="K182" s="554">
        <f t="shared" si="33"/>
        <v>0</v>
      </c>
      <c r="L182" s="554">
        <f t="shared" ref="L182:M182" si="38">K182</f>
        <v>0</v>
      </c>
      <c r="M182" s="554">
        <f t="shared" si="38"/>
        <v>0</v>
      </c>
      <c r="N182" s="445" t="s">
        <v>185</v>
      </c>
      <c r="O182" s="94"/>
      <c r="P182" s="383"/>
    </row>
    <row r="183" spans="2:17" ht="45" customHeight="1" x14ac:dyDescent="0.35">
      <c r="B183" s="733" t="str">
        <f t="shared" si="30"/>
        <v/>
      </c>
      <c r="C183" s="427" t="str">
        <f t="shared" si="31"/>
        <v>Slamtype</v>
      </c>
      <c r="D183" s="428" t="str">
        <f>IFERROR(INDEX(EF!$B$127:$B$150, MATCH(C165, EF!$A$127:$A$150, 0)) &amp; " til " &amp; INDEX(EF!$C$127:$C$150, MATCH(C165, EF!$A$127:$A$150, 0)),"")</f>
        <v/>
      </c>
      <c r="E183" s="385" t="s">
        <v>184</v>
      </c>
      <c r="F183" s="266">
        <f t="shared" ref="F183:I183" si="39">F165</f>
        <v>0</v>
      </c>
      <c r="G183" s="266">
        <f t="shared" si="39"/>
        <v>0</v>
      </c>
      <c r="H183" s="266">
        <f t="shared" si="39"/>
        <v>0</v>
      </c>
      <c r="I183" s="267">
        <f t="shared" si="39"/>
        <v>0</v>
      </c>
      <c r="J183" s="523">
        <f>IFERROR(INDEX(EF!$F$127:$F$150,MATCH($C165,EF!$A$127:$A$150,0)),0)</f>
        <v>0</v>
      </c>
      <c r="K183" s="554">
        <f t="shared" si="33"/>
        <v>0</v>
      </c>
      <c r="L183" s="554">
        <f t="shared" ref="L183:M183" si="40">K183</f>
        <v>0</v>
      </c>
      <c r="M183" s="554">
        <f t="shared" si="40"/>
        <v>0</v>
      </c>
      <c r="N183" s="445" t="s">
        <v>185</v>
      </c>
      <c r="O183" s="94"/>
      <c r="P183" s="383"/>
      <c r="Q183" s="383"/>
    </row>
    <row r="184" spans="2:17" ht="45" customHeight="1" x14ac:dyDescent="0.35">
      <c r="B184" s="733" t="str">
        <f t="shared" si="30"/>
        <v/>
      </c>
      <c r="C184" s="427" t="str">
        <f t="shared" si="31"/>
        <v>Slamtype</v>
      </c>
      <c r="D184" s="428" t="str">
        <f>IFERROR(INDEX(EF!$B$127:$B$150, MATCH(C166, EF!$A$127:$A$150, 0)) &amp; " til " &amp; INDEX(EF!$C$127:$C$150, MATCH(C166, EF!$A$127:$A$150, 0)),"")</f>
        <v/>
      </c>
      <c r="E184" s="385" t="s">
        <v>184</v>
      </c>
      <c r="F184" s="266">
        <f t="shared" ref="F184:I184" si="41">F166</f>
        <v>0</v>
      </c>
      <c r="G184" s="266">
        <f t="shared" si="41"/>
        <v>0</v>
      </c>
      <c r="H184" s="266">
        <f t="shared" si="41"/>
        <v>0</v>
      </c>
      <c r="I184" s="267">
        <f t="shared" si="41"/>
        <v>0</v>
      </c>
      <c r="J184" s="523">
        <f>IFERROR(INDEX(EF!$F$127:$F$150,MATCH($C166,EF!$A$127:$A$150,0)),0)</f>
        <v>0</v>
      </c>
      <c r="K184" s="554">
        <f t="shared" si="33"/>
        <v>0</v>
      </c>
      <c r="L184" s="554">
        <f t="shared" ref="L184:M184" si="42">K184</f>
        <v>0</v>
      </c>
      <c r="M184" s="554">
        <f t="shared" si="42"/>
        <v>0</v>
      </c>
      <c r="N184" s="445" t="s">
        <v>185</v>
      </c>
      <c r="O184" s="94"/>
      <c r="P184" s="383"/>
      <c r="Q184" s="383"/>
    </row>
    <row r="185" spans="2:17" ht="45" customHeight="1" x14ac:dyDescent="0.35">
      <c r="B185" s="733" t="str">
        <f t="shared" si="30"/>
        <v/>
      </c>
      <c r="C185" s="427" t="str">
        <f t="shared" si="31"/>
        <v>Slamtype</v>
      </c>
      <c r="D185" s="428" t="str">
        <f>IFERROR(INDEX(EF!$B$127:$B$150, MATCH(C167, EF!$A$127:$A$150, 0)) &amp; " til " &amp; INDEX(EF!$C$127:$C$150, MATCH(C167, EF!$A$127:$A$150, 0)),"")</f>
        <v/>
      </c>
      <c r="E185" s="385" t="s">
        <v>184</v>
      </c>
      <c r="F185" s="266">
        <f t="shared" ref="F185:I185" si="43">F167</f>
        <v>0</v>
      </c>
      <c r="G185" s="266">
        <f t="shared" si="43"/>
        <v>0</v>
      </c>
      <c r="H185" s="266">
        <f t="shared" si="43"/>
        <v>0</v>
      </c>
      <c r="I185" s="267">
        <f t="shared" si="43"/>
        <v>0</v>
      </c>
      <c r="J185" s="523">
        <f>IFERROR(INDEX(EF!$F$127:$F$150,MATCH($C167,EF!$A$127:$A$150,0)),0)</f>
        <v>0</v>
      </c>
      <c r="K185" s="554">
        <f t="shared" si="33"/>
        <v>0</v>
      </c>
      <c r="L185" s="554">
        <f t="shared" ref="L185:M185" si="44">K185</f>
        <v>0</v>
      </c>
      <c r="M185" s="554">
        <f t="shared" si="44"/>
        <v>0</v>
      </c>
      <c r="N185" s="445" t="s">
        <v>185</v>
      </c>
      <c r="O185" s="94"/>
      <c r="P185" s="383"/>
      <c r="Q185" s="383"/>
    </row>
    <row r="186" spans="2:17" ht="45" customHeight="1" x14ac:dyDescent="0.35">
      <c r="B186" s="733" t="str">
        <f t="shared" si="30"/>
        <v/>
      </c>
      <c r="C186" s="427" t="str">
        <f t="shared" si="31"/>
        <v>Slamtype</v>
      </c>
      <c r="D186" s="428" t="str">
        <f>IFERROR(INDEX(EF!$B$127:$B$150, MATCH(C168, EF!$A$127:$A$150, 0)) &amp; " til " &amp; INDEX(EF!$C$127:$C$150, MATCH(C168, EF!$A$127:$A$150, 0)),"")</f>
        <v/>
      </c>
      <c r="E186" s="385" t="s">
        <v>184</v>
      </c>
      <c r="F186" s="266">
        <f t="shared" ref="F186:I186" si="45">F168</f>
        <v>0</v>
      </c>
      <c r="G186" s="266">
        <f t="shared" si="45"/>
        <v>0</v>
      </c>
      <c r="H186" s="266">
        <f t="shared" si="45"/>
        <v>0</v>
      </c>
      <c r="I186" s="267">
        <f t="shared" si="45"/>
        <v>0</v>
      </c>
      <c r="J186" s="523">
        <f>IFERROR(INDEX(EF!$F$127:$F$150,MATCH($C168,EF!$A$127:$A$150,0)),0)</f>
        <v>0</v>
      </c>
      <c r="K186" s="554">
        <f t="shared" si="33"/>
        <v>0</v>
      </c>
      <c r="L186" s="554">
        <f t="shared" ref="L186:M186" si="46">K186</f>
        <v>0</v>
      </c>
      <c r="M186" s="554">
        <f t="shared" si="46"/>
        <v>0</v>
      </c>
      <c r="N186" s="445" t="s">
        <v>185</v>
      </c>
      <c r="O186" s="94"/>
      <c r="P186" s="383"/>
    </row>
    <row r="187" spans="2:17" ht="45" customHeight="1" x14ac:dyDescent="0.35">
      <c r="B187" s="733" t="str">
        <f t="shared" si="30"/>
        <v/>
      </c>
      <c r="C187" s="427" t="str">
        <f t="shared" si="31"/>
        <v>Slamtype</v>
      </c>
      <c r="D187" s="428" t="str">
        <f>IFERROR(INDEX(EF!$B$127:$B$150, MATCH(C169, EF!$A$127:$A$150, 0)) &amp; " til " &amp; INDEX(EF!$C$127:$C$150, MATCH(C169, EF!$A$127:$A$150, 0)),"")</f>
        <v/>
      </c>
      <c r="E187" s="385" t="s">
        <v>184</v>
      </c>
      <c r="F187" s="266">
        <f t="shared" ref="F187:I187" si="47">F169</f>
        <v>0</v>
      </c>
      <c r="G187" s="266">
        <f t="shared" si="47"/>
        <v>0</v>
      </c>
      <c r="H187" s="266">
        <f t="shared" si="47"/>
        <v>0</v>
      </c>
      <c r="I187" s="267">
        <f t="shared" si="47"/>
        <v>0</v>
      </c>
      <c r="J187" s="523">
        <f>IFERROR(INDEX(EF!$F$127:$F$150,MATCH($C169,EF!$A$127:$A$150,0)),0)</f>
        <v>0</v>
      </c>
      <c r="K187" s="554">
        <f t="shared" si="33"/>
        <v>0</v>
      </c>
      <c r="L187" s="554">
        <f t="shared" ref="L187:M187" si="48">K187</f>
        <v>0</v>
      </c>
      <c r="M187" s="554">
        <f t="shared" si="48"/>
        <v>0</v>
      </c>
      <c r="N187" s="445" t="s">
        <v>185</v>
      </c>
      <c r="O187" s="94"/>
    </row>
    <row r="188" spans="2:17" ht="45" customHeight="1" thickBot="1" x14ac:dyDescent="0.4">
      <c r="B188" s="733" t="str">
        <f t="shared" si="30"/>
        <v/>
      </c>
      <c r="C188" s="378" t="str">
        <f t="shared" si="31"/>
        <v>Slamtype</v>
      </c>
      <c r="D188" s="495" t="str">
        <f>IFERROR(INDEX(EF!$B$127:$B$150, MATCH(C170, EF!$A$127:$A$150, 0)) &amp; " til " &amp; INDEX(EF!$C$127:$C$150, MATCH(C170, EF!$A$127:$A$150, 0)),"")</f>
        <v/>
      </c>
      <c r="E188" s="380" t="s">
        <v>184</v>
      </c>
      <c r="F188" s="238">
        <f t="shared" ref="F188:I188" si="49">F170</f>
        <v>0</v>
      </c>
      <c r="G188" s="238">
        <f t="shared" si="49"/>
        <v>0</v>
      </c>
      <c r="H188" s="238">
        <f t="shared" si="49"/>
        <v>0</v>
      </c>
      <c r="I188" s="239">
        <f t="shared" si="49"/>
        <v>0</v>
      </c>
      <c r="J188" s="524">
        <f>IFERROR(INDEX(EF!$F$127:$F$150,MATCH($C170,EF!$A$127:$A$150,0)),0)</f>
        <v>0</v>
      </c>
      <c r="K188" s="557">
        <f t="shared" si="33"/>
        <v>0</v>
      </c>
      <c r="L188" s="557">
        <f t="shared" ref="L188:M188" si="50">K188</f>
        <v>0</v>
      </c>
      <c r="M188" s="557">
        <f t="shared" si="50"/>
        <v>0</v>
      </c>
      <c r="N188" s="433" t="s">
        <v>185</v>
      </c>
      <c r="O188" s="728"/>
      <c r="P188" s="383"/>
    </row>
    <row r="189" spans="2:17" ht="45" customHeight="1" x14ac:dyDescent="0.35">
      <c r="B189" s="383"/>
      <c r="C189" s="383"/>
      <c r="D189" s="383"/>
      <c r="E189" s="383"/>
      <c r="F189" s="383"/>
      <c r="G189" s="383"/>
      <c r="H189" s="383"/>
      <c r="I189" s="383"/>
      <c r="J189" s="383"/>
      <c r="K189" s="383"/>
      <c r="L189" s="383"/>
      <c r="M189" s="383"/>
      <c r="O189" s="389"/>
      <c r="P189" s="383"/>
    </row>
    <row r="190" spans="2:17" ht="45" customHeight="1" thickBot="1" x14ac:dyDescent="0.4">
      <c r="O190" s="120"/>
    </row>
    <row r="191" spans="2:17" ht="45" customHeight="1" thickBot="1" x14ac:dyDescent="0.65">
      <c r="C191" s="560" t="s">
        <v>115</v>
      </c>
      <c r="D191" s="363"/>
      <c r="E191" s="364"/>
      <c r="F191" s="364"/>
      <c r="G191" s="364"/>
      <c r="H191" s="364"/>
      <c r="I191" s="364"/>
      <c r="J191" s="364"/>
      <c r="K191" s="364"/>
      <c r="L191" s="365"/>
      <c r="M191" s="365"/>
      <c r="N191" s="419"/>
      <c r="O191" s="366" t="s">
        <v>1464</v>
      </c>
    </row>
    <row r="192" spans="2:17" ht="45" customHeight="1" x14ac:dyDescent="0.35">
      <c r="C192" s="902" t="s">
        <v>1179</v>
      </c>
      <c r="D192" s="903"/>
      <c r="E192" s="904"/>
      <c r="F192" s="420" t="s">
        <v>32</v>
      </c>
      <c r="G192" s="421"/>
      <c r="H192" s="422" t="s">
        <v>33</v>
      </c>
      <c r="I192" s="519"/>
      <c r="J192" s="908" t="s">
        <v>34</v>
      </c>
      <c r="K192" s="909"/>
      <c r="L192" s="909"/>
      <c r="M192" s="909"/>
      <c r="N192" s="910"/>
      <c r="O192" s="423" t="s">
        <v>36</v>
      </c>
    </row>
    <row r="193" spans="1:17" ht="45" customHeight="1" x14ac:dyDescent="0.35">
      <c r="C193" s="905" t="s">
        <v>1175</v>
      </c>
      <c r="D193" s="906"/>
      <c r="E193" s="907"/>
      <c r="F193" s="425">
        <v>2023</v>
      </c>
      <c r="G193" s="425">
        <v>2025</v>
      </c>
      <c r="H193" s="425">
        <f t="shared" ref="H193:I193" si="51">G193+5</f>
        <v>2030</v>
      </c>
      <c r="I193" s="520">
        <f t="shared" si="51"/>
        <v>2035</v>
      </c>
      <c r="J193" s="374">
        <v>2023</v>
      </c>
      <c r="K193" s="375">
        <v>2025</v>
      </c>
      <c r="L193" s="375">
        <v>2030</v>
      </c>
      <c r="M193" s="375">
        <v>2035</v>
      </c>
      <c r="N193" s="376" t="s">
        <v>35</v>
      </c>
      <c r="O193" s="377"/>
    </row>
    <row r="194" spans="1:17" ht="45" customHeight="1" x14ac:dyDescent="0.35">
      <c r="B194" s="729" t="str">
        <f>IF(AND(ISNUMBER(J194),J194&gt;0),"OBS! Husk negativt fortegn ved EF","")</f>
        <v/>
      </c>
      <c r="C194" s="431" t="s">
        <v>119</v>
      </c>
      <c r="D194" s="428" t="s">
        <v>120</v>
      </c>
      <c r="E194" s="429" t="s">
        <v>117</v>
      </c>
      <c r="F194" s="86"/>
      <c r="G194" s="86"/>
      <c r="H194" s="86"/>
      <c r="I194" s="87"/>
      <c r="J194" s="212" t="s">
        <v>145</v>
      </c>
      <c r="K194" s="397">
        <f>IF(ISNUMBER(J194),J194,0)</f>
        <v>0</v>
      </c>
      <c r="L194" s="397">
        <f t="shared" ref="L194:M194" si="52">IF(ISNUMBER(K194),K194,"")</f>
        <v>0</v>
      </c>
      <c r="M194" s="397">
        <f t="shared" si="52"/>
        <v>0</v>
      </c>
      <c r="N194" s="96" t="s">
        <v>118</v>
      </c>
      <c r="O194" s="109" t="s">
        <v>121</v>
      </c>
    </row>
    <row r="195" spans="1:17" ht="45" customHeight="1" x14ac:dyDescent="0.35">
      <c r="B195" s="729" t="str">
        <f>IF(AND(ISNUMBER(J195),J195&gt;0),"OBS! Husk negativt fortegn ved EF","")</f>
        <v/>
      </c>
      <c r="C195" s="431" t="s">
        <v>122</v>
      </c>
      <c r="D195" s="401" t="s">
        <v>123</v>
      </c>
      <c r="E195" s="385" t="s">
        <v>117</v>
      </c>
      <c r="F195" s="86"/>
      <c r="G195" s="86"/>
      <c r="H195" s="86"/>
      <c r="I195" s="87"/>
      <c r="J195" s="212" t="s">
        <v>145</v>
      </c>
      <c r="K195" s="397">
        <f>IF(ISNUMBER(J195),J195,0)</f>
        <v>0</v>
      </c>
      <c r="L195" s="397">
        <f t="shared" ref="L195:M195" si="53">IF(ISNUMBER(K195),K195,"")</f>
        <v>0</v>
      </c>
      <c r="M195" s="397">
        <f t="shared" si="53"/>
        <v>0</v>
      </c>
      <c r="N195" s="96" t="s">
        <v>118</v>
      </c>
      <c r="O195" s="109" t="s">
        <v>121</v>
      </c>
      <c r="Q195" s="383"/>
    </row>
    <row r="196" spans="1:17" ht="45" customHeight="1" thickBot="1" x14ac:dyDescent="0.4">
      <c r="B196" s="729" t="str">
        <f>IF(AND(ISNUMBER(J196),J196&gt;0),"OBS! Husk negativt fortegn ved EF","")</f>
        <v/>
      </c>
      <c r="C196" s="378" t="s">
        <v>202</v>
      </c>
      <c r="D196" s="447" t="s">
        <v>123</v>
      </c>
      <c r="E196" s="380" t="s">
        <v>117</v>
      </c>
      <c r="F196" s="218"/>
      <c r="G196" s="218"/>
      <c r="H196" s="218"/>
      <c r="I196" s="244"/>
      <c r="J196" s="213" t="s">
        <v>145</v>
      </c>
      <c r="K196" s="407">
        <f>IF(ISNUMBER(J196),J196,0)</f>
        <v>0</v>
      </c>
      <c r="L196" s="407">
        <f t="shared" ref="L196" si="54">IF(ISNUMBER(K196),K196,"")</f>
        <v>0</v>
      </c>
      <c r="M196" s="407">
        <f t="shared" ref="M196" si="55">IF(ISNUMBER(L196),L196,"")</f>
        <v>0</v>
      </c>
      <c r="N196" s="97" t="s">
        <v>118</v>
      </c>
      <c r="O196" s="110" t="s">
        <v>121</v>
      </c>
    </row>
    <row r="197" spans="1:17" ht="45" customHeight="1" x14ac:dyDescent="0.35">
      <c r="O197" s="120"/>
      <c r="Q197" s="453"/>
    </row>
    <row r="198" spans="1:17" ht="45" customHeight="1" x14ac:dyDescent="0.5">
      <c r="B198" s="450" t="s">
        <v>1473</v>
      </c>
      <c r="C198" s="476"/>
      <c r="D198" s="476"/>
      <c r="E198" s="476"/>
      <c r="F198" s="476"/>
      <c r="G198" s="476"/>
      <c r="H198" s="476"/>
      <c r="I198" s="476"/>
      <c r="J198" s="476"/>
      <c r="K198" s="476"/>
      <c r="L198" s="476"/>
      <c r="M198" s="476"/>
      <c r="N198" s="476"/>
      <c r="O198" s="477"/>
      <c r="P198" s="476"/>
    </row>
    <row r="199" spans="1:17" ht="45" customHeight="1" thickBot="1" x14ac:dyDescent="0.4">
      <c r="O199" s="120"/>
    </row>
    <row r="200" spans="1:17" ht="45" customHeight="1" thickBot="1" x14ac:dyDescent="0.55000000000000004">
      <c r="C200" s="561" t="s">
        <v>124</v>
      </c>
      <c r="D200" s="562"/>
      <c r="E200" s="364"/>
      <c r="F200" s="364"/>
      <c r="G200" s="364"/>
      <c r="H200" s="364"/>
      <c r="I200" s="364"/>
      <c r="J200" s="417"/>
      <c r="K200" s="417"/>
      <c r="L200" s="418"/>
      <c r="M200" s="418"/>
      <c r="N200" s="419"/>
      <c r="O200" s="366" t="s">
        <v>1465</v>
      </c>
    </row>
    <row r="201" spans="1:17" ht="45" customHeight="1" x14ac:dyDescent="0.35">
      <c r="C201" s="902" t="s">
        <v>125</v>
      </c>
      <c r="D201" s="903"/>
      <c r="E201" s="904"/>
      <c r="F201" s="420" t="s">
        <v>32</v>
      </c>
      <c r="G201" s="368"/>
      <c r="H201" s="422" t="s">
        <v>33</v>
      </c>
      <c r="I201" s="422"/>
      <c r="J201" s="908" t="s">
        <v>34</v>
      </c>
      <c r="K201" s="909"/>
      <c r="L201" s="909"/>
      <c r="M201" s="909"/>
      <c r="N201" s="910"/>
      <c r="O201" s="438" t="s">
        <v>36</v>
      </c>
    </row>
    <row r="202" spans="1:17" ht="45" customHeight="1" x14ac:dyDescent="0.35">
      <c r="B202" s="383"/>
      <c r="C202" s="501"/>
      <c r="D202" s="457"/>
      <c r="E202" s="458"/>
      <c r="F202" s="425">
        <v>2023</v>
      </c>
      <c r="G202" s="425">
        <v>2025</v>
      </c>
      <c r="H202" s="425">
        <f t="shared" ref="H202:I202" si="56">G202+5</f>
        <v>2030</v>
      </c>
      <c r="I202" s="426">
        <f t="shared" si="56"/>
        <v>2035</v>
      </c>
      <c r="J202" s="374">
        <v>2023</v>
      </c>
      <c r="K202" s="375">
        <v>2025</v>
      </c>
      <c r="L202" s="375">
        <v>2030</v>
      </c>
      <c r="M202" s="375">
        <v>2035</v>
      </c>
      <c r="N202" s="376" t="s">
        <v>35</v>
      </c>
      <c r="O202" s="440"/>
      <c r="P202" s="383"/>
    </row>
    <row r="203" spans="1:17" ht="45" customHeight="1" x14ac:dyDescent="0.35">
      <c r="B203" s="737"/>
      <c r="C203" s="431" t="s">
        <v>188</v>
      </c>
      <c r="D203" s="494" t="s">
        <v>189</v>
      </c>
      <c r="E203" s="385" t="s">
        <v>39</v>
      </c>
      <c r="F203" s="214" t="str">
        <f>IF(ISNUMBER(INDEX('Data SPV rens'!E5:E233,MATCH(Renseanlæg!C2,'Data SPV rens'!A5:A233,0))),INDEX('Data SPV rens'!E5:E233,MATCH(Renseanlæg!C2,'Data SPV rens'!A5:A233,0)),"")</f>
        <v/>
      </c>
      <c r="G203" s="86">
        <v>0</v>
      </c>
      <c r="H203" s="86">
        <v>0</v>
      </c>
      <c r="I203" s="98">
        <v>0</v>
      </c>
      <c r="J203" s="396">
        <f>-SUM(J90,J147)</f>
        <v>-0.16233</v>
      </c>
      <c r="K203" s="397">
        <f>-SUM(K90,K147)</f>
        <v>-0.11474999999999999</v>
      </c>
      <c r="L203" s="397">
        <f>-SUM(L90,L147)</f>
        <v>-8.1430000000000002E-2</v>
      </c>
      <c r="M203" s="397">
        <f>-SUM(M90,M147)</f>
        <v>-7.6939999999999995E-2</v>
      </c>
      <c r="N203" s="445" t="s">
        <v>42</v>
      </c>
      <c r="O203" s="104"/>
      <c r="P203" s="383"/>
    </row>
    <row r="204" spans="1:17" ht="45" customHeight="1" x14ac:dyDescent="0.35">
      <c r="A204" s="3"/>
      <c r="B204" s="737"/>
      <c r="C204" s="431" t="s">
        <v>190</v>
      </c>
      <c r="D204" s="401" t="s">
        <v>191</v>
      </c>
      <c r="E204" s="385" t="s">
        <v>39</v>
      </c>
      <c r="F204" s="214">
        <f>IF(ISNUMBER(INDEX('Data SPV rens'!F5:F234,MATCH(Renseanlæg!C2,'Data SPV rens'!A5:A234,0))),INDEX('Data SPV rens'!F5:F234,MATCH(Renseanlæg!C2,'Data SPV rens'!A5:A234,0)),0)</f>
        <v>0</v>
      </c>
      <c r="G204" s="241">
        <f>SUM(G205:G208)</f>
        <v>0</v>
      </c>
      <c r="H204" s="241">
        <f>SUM(H205:H208)</f>
        <v>0</v>
      </c>
      <c r="I204" s="246">
        <f>SUM(I205:I208)</f>
        <v>0</v>
      </c>
      <c r="J204" s="919" t="s">
        <v>1358</v>
      </c>
      <c r="K204" s="920"/>
      <c r="L204" s="920"/>
      <c r="M204" s="920"/>
      <c r="N204" s="921"/>
      <c r="O204" s="104"/>
      <c r="P204" s="383"/>
    </row>
    <row r="205" spans="1:17" ht="45" customHeight="1" x14ac:dyDescent="0.35">
      <c r="A205" s="500"/>
      <c r="B205" s="737"/>
      <c r="C205" s="431" t="s">
        <v>192</v>
      </c>
      <c r="D205" s="401" t="s">
        <v>193</v>
      </c>
      <c r="E205" s="385" t="s">
        <v>39</v>
      </c>
      <c r="F205" s="214">
        <f>IF(OR(ISNUMBER(INDEX('Data SPV rens'!G5:G234,MATCH(Renseanlæg!C2,'Data SPV rens'!A5:A234,0))),ISNUMBER(INDEX('Data SPV rens'!H5:H234,MATCH(Renseanlæg!C2,'Data SPV rens'!A5:A234,0)))),SUM(INDEX('Data SPV rens'!G5:G234,MATCH(Renseanlæg!C2,'Data SPV rens'!A5:A234,0)),INDEX('Data SPV rens'!H5:H234,MATCH(Renseanlæg!C2,'Data SPV rens'!A5:A234,0))),0)</f>
        <v>0</v>
      </c>
      <c r="G205" s="86"/>
      <c r="H205" s="86"/>
      <c r="I205" s="98"/>
      <c r="J205" s="490">
        <f>-SUM(J84,J146)</f>
        <v>-5.9835081772502977E-2</v>
      </c>
      <c r="K205" s="391">
        <f>-SUM(K84,K146)</f>
        <v>-4.619645545304716E-2</v>
      </c>
      <c r="L205" s="391">
        <f>-SUM(L84,L146)</f>
        <v>-2.3617762562049623E-2</v>
      </c>
      <c r="M205" s="391">
        <f>-SUM(M84,M146)</f>
        <v>-1.4674540925272202E-2</v>
      </c>
      <c r="N205" s="445" t="s">
        <v>42</v>
      </c>
      <c r="O205" s="104"/>
      <c r="P205" s="383"/>
    </row>
    <row r="206" spans="1:17" ht="45" customHeight="1" x14ac:dyDescent="0.35">
      <c r="B206" s="737"/>
      <c r="C206" s="431" t="s">
        <v>194</v>
      </c>
      <c r="D206" s="401" t="s">
        <v>195</v>
      </c>
      <c r="E206" s="385" t="s">
        <v>39</v>
      </c>
      <c r="F206" s="214">
        <f>IF(ISNUMBER(INDEX('Data SPV rens'!I5:I234,MATCH(Renseanlæg!C2,'Data SPV rens'!A5:A234,0))),INDEX('Data SPV rens'!I5:I234,MATCH(Renseanlæg!C2,'Data SPV rens'!A5:A234,0)),0)</f>
        <v>0</v>
      </c>
      <c r="G206" s="86"/>
      <c r="H206" s="86"/>
      <c r="I206" s="98"/>
      <c r="J206" s="443">
        <f>-SUM(J136,J33)</f>
        <v>-0.13669879861887327</v>
      </c>
      <c r="K206" s="443">
        <f t="shared" ref="K206:M206" si="57">-SUM(K136,K33)</f>
        <v>-0.11508559540709103</v>
      </c>
      <c r="L206" s="443">
        <f t="shared" si="57"/>
        <v>-1.684376262626263E-2</v>
      </c>
      <c r="M206" s="443">
        <f t="shared" si="57"/>
        <v>-1.684376262626263E-2</v>
      </c>
      <c r="N206" s="445" t="s">
        <v>42</v>
      </c>
      <c r="O206" s="104"/>
      <c r="P206" s="383"/>
    </row>
    <row r="207" spans="1:17" ht="45" customHeight="1" x14ac:dyDescent="0.35">
      <c r="B207" s="729" t="str">
        <f>IF(AND(ISNUMBER(J207),J207&gt;0),"OBS! Husk negativt fortegn ved EF","")</f>
        <v/>
      </c>
      <c r="C207" s="431" t="s">
        <v>196</v>
      </c>
      <c r="D207" s="401" t="s">
        <v>197</v>
      </c>
      <c r="E207" s="385" t="s">
        <v>39</v>
      </c>
      <c r="F207" s="214">
        <v>0</v>
      </c>
      <c r="G207" s="86"/>
      <c r="H207" s="86"/>
      <c r="I207" s="98"/>
      <c r="J207" s="212" t="s">
        <v>145</v>
      </c>
      <c r="K207" s="397">
        <f>IF(ISNUMBER(J207),J207,0)</f>
        <v>0</v>
      </c>
      <c r="L207" s="397">
        <f t="shared" ref="L207:M207" si="58">IF(ISNUMBER(K207),K207,"")</f>
        <v>0</v>
      </c>
      <c r="M207" s="397">
        <f t="shared" si="58"/>
        <v>0</v>
      </c>
      <c r="N207" s="445" t="s">
        <v>42</v>
      </c>
      <c r="O207" s="113" t="s">
        <v>99</v>
      </c>
      <c r="P207" s="383"/>
    </row>
    <row r="208" spans="1:17" ht="45" customHeight="1" thickBot="1" x14ac:dyDescent="0.4">
      <c r="A208" s="3"/>
      <c r="B208" s="729" t="str">
        <f>IF(AND(ISNUMBER(J208),J208&gt;0),"OBS! Husk negativt fortegn ved EF","")</f>
        <v/>
      </c>
      <c r="C208" s="378" t="s">
        <v>198</v>
      </c>
      <c r="D208" s="447" t="s">
        <v>199</v>
      </c>
      <c r="E208" s="380" t="s">
        <v>39</v>
      </c>
      <c r="F208" s="216">
        <f>IF(ISNUMBER(INDEX('Data SPV rens'!M5:M234,MATCH(Renseanlæg!C2,'Data SPV rens'!A5:A234,0))),INDEX('Data SPV rens'!M5:M234,MATCH(Renseanlæg!C2,'Data SPV rens'!A5:A234,0)),0)</f>
        <v>0</v>
      </c>
      <c r="G208" s="218"/>
      <c r="H208" s="218"/>
      <c r="I208" s="264"/>
      <c r="J208" s="213" t="s">
        <v>145</v>
      </c>
      <c r="K208" s="407">
        <f>IF(ISNUMBER(J208),J208,0)</f>
        <v>0</v>
      </c>
      <c r="L208" s="407">
        <f t="shared" ref="L208:M208" si="59">IF(ISNUMBER(K208),K208,"")</f>
        <v>0</v>
      </c>
      <c r="M208" s="407">
        <f t="shared" si="59"/>
        <v>0</v>
      </c>
      <c r="N208" s="433" t="s">
        <v>42</v>
      </c>
      <c r="O208" s="114" t="s">
        <v>99</v>
      </c>
      <c r="P208" s="383"/>
    </row>
    <row r="209" spans="1:16" ht="45" customHeight="1" x14ac:dyDescent="0.35">
      <c r="O209" s="120"/>
    </row>
    <row r="210" spans="1:16" ht="45" customHeight="1" thickBot="1" x14ac:dyDescent="0.4">
      <c r="B210" s="383"/>
      <c r="O210" s="120"/>
      <c r="P210" s="383"/>
    </row>
    <row r="211" spans="1:16" ht="45" customHeight="1" thickBot="1" x14ac:dyDescent="0.55000000000000004">
      <c r="B211" s="383"/>
      <c r="C211" s="362" t="s">
        <v>200</v>
      </c>
      <c r="D211" s="363"/>
      <c r="E211" s="364"/>
      <c r="F211" s="364"/>
      <c r="G211" s="364"/>
      <c r="H211" s="364"/>
      <c r="I211" s="364"/>
      <c r="J211" s="364"/>
      <c r="K211" s="364"/>
      <c r="L211" s="365"/>
      <c r="M211" s="365"/>
      <c r="N211" s="121"/>
      <c r="O211" s="366" t="s">
        <v>1466</v>
      </c>
      <c r="P211" s="383"/>
    </row>
    <row r="212" spans="1:16" ht="45" customHeight="1" x14ac:dyDescent="0.35">
      <c r="B212" s="383"/>
      <c r="C212" s="902" t="s">
        <v>187</v>
      </c>
      <c r="D212" s="903"/>
      <c r="E212" s="904"/>
      <c r="F212" s="367" t="s">
        <v>32</v>
      </c>
      <c r="G212" s="368"/>
      <c r="H212" s="369" t="s">
        <v>33</v>
      </c>
      <c r="I212" s="369"/>
      <c r="J212" s="908" t="s">
        <v>34</v>
      </c>
      <c r="K212" s="909"/>
      <c r="L212" s="909"/>
      <c r="M212" s="909"/>
      <c r="N212" s="910"/>
      <c r="O212" s="423" t="s">
        <v>36</v>
      </c>
      <c r="P212" s="383"/>
    </row>
    <row r="213" spans="1:16" ht="45" customHeight="1" x14ac:dyDescent="0.35">
      <c r="B213" s="383"/>
      <c r="C213" s="905" t="s">
        <v>1485</v>
      </c>
      <c r="D213" s="906"/>
      <c r="E213" s="907"/>
      <c r="F213" s="425">
        <v>2023</v>
      </c>
      <c r="G213" s="425">
        <v>2025</v>
      </c>
      <c r="H213" s="425">
        <f>G213+5</f>
        <v>2030</v>
      </c>
      <c r="I213" s="426">
        <f>H213+5</f>
        <v>2035</v>
      </c>
      <c r="J213" s="558">
        <v>2023</v>
      </c>
      <c r="K213" s="425">
        <v>2025</v>
      </c>
      <c r="L213" s="425">
        <f>K213+5</f>
        <v>2030</v>
      </c>
      <c r="M213" s="425">
        <f>L213+5</f>
        <v>2035</v>
      </c>
      <c r="N213" s="563" t="s">
        <v>35</v>
      </c>
      <c r="O213" s="377"/>
      <c r="P213" s="383"/>
    </row>
    <row r="214" spans="1:16" ht="45" customHeight="1" x14ac:dyDescent="0.35">
      <c r="A214" s="559"/>
      <c r="B214" s="738" t="str">
        <f>IF(OR(ISNUMBER(SEARCH("slamtype 4.1c",C214)), ISNUMBER(SEARCH("slamtype 4.2c",C214)), ISNUMBER(SEARCH("slamtype 5.1c",C214)), ISNUMBER(SEARCH("slamtype 5.2c",C214))), "OBS! Disponering c: anden udnyttelse. Indtast selv EF for gødningssubstitution i kolonne J-M. Negativ forteng","")</f>
        <v/>
      </c>
      <c r="C214" s="427" t="str">
        <f>IF(C161="Slamtype (drop-down)","Slamtype",C161&amp;" "&amp;" -gødningssubstitution")</f>
        <v>Slamtype</v>
      </c>
      <c r="D214" s="428" t="str">
        <f>IFERROR(INDEX(EF!$B$127:$B$150, MATCH(C161, EF!$A$127:$A$150, 0)) &amp; " til " &amp; INDEX(EF!$C$127:$C$150, MATCH(C161, EF!$A$127:$A$150, 0)),"")</f>
        <v/>
      </c>
      <c r="E214" s="385" t="s">
        <v>184</v>
      </c>
      <c r="F214" s="266">
        <f t="shared" ref="F214:I223" si="60">F161</f>
        <v>0</v>
      </c>
      <c r="G214" s="266">
        <f t="shared" si="60"/>
        <v>0</v>
      </c>
      <c r="H214" s="266">
        <f t="shared" si="60"/>
        <v>0</v>
      </c>
      <c r="I214" s="267">
        <f t="shared" si="60"/>
        <v>0</v>
      </c>
      <c r="J214" s="523">
        <f>IFERROR(INDEX(EF!$G$127:$G$150,MATCH($C161,EF!$A$127:$A$150,0)),0)</f>
        <v>0</v>
      </c>
      <c r="K214" s="554">
        <f>IF(ISNUMBER(J214),J214,0)</f>
        <v>0</v>
      </c>
      <c r="L214" s="554">
        <f t="shared" ref="L214:M214" si="61">K214</f>
        <v>0</v>
      </c>
      <c r="M214" s="554">
        <f t="shared" si="61"/>
        <v>0</v>
      </c>
      <c r="N214" s="486" t="s">
        <v>185</v>
      </c>
      <c r="O214" s="95"/>
      <c r="P214" s="383"/>
    </row>
    <row r="215" spans="1:16" ht="45" customHeight="1" x14ac:dyDescent="0.35">
      <c r="A215" s="559"/>
      <c r="B215" s="738" t="str">
        <f t="shared" ref="B215:B223" si="62">IF(OR(ISNUMBER(SEARCH("slamtype 4.1c",C215)), ISNUMBER(SEARCH("slamtype 4.2c",C215)), ISNUMBER(SEARCH("slamtype 5.1c",C215)), ISNUMBER(SEARCH("slamtype 5.2c",C215))), "OBS! Disponering c: anden udnyttelse. Indtast selv EF for gødningssubstitution i kolonne J-M. Negativ forteng","")</f>
        <v/>
      </c>
      <c r="C215" s="427" t="str">
        <f t="shared" ref="C215:C223" si="63">IF(C162="Slamtype (drop-down)","Slamtype",C162&amp;" "&amp;" -gødningssubstitution")</f>
        <v>Slamtype</v>
      </c>
      <c r="D215" s="428" t="str">
        <f>IFERROR(INDEX(EF!$B$127:$B$150, MATCH(C162, EF!$A$127:$A$150, 0)) &amp; " til " &amp; INDEX(EF!$C$127:$C$150, MATCH(C162, EF!$A$127:$A$150, 0)),"")</f>
        <v/>
      </c>
      <c r="E215" s="385" t="s">
        <v>184</v>
      </c>
      <c r="F215" s="266">
        <f t="shared" si="60"/>
        <v>0</v>
      </c>
      <c r="G215" s="266">
        <f t="shared" si="60"/>
        <v>0</v>
      </c>
      <c r="H215" s="266">
        <f t="shared" si="60"/>
        <v>0</v>
      </c>
      <c r="I215" s="267">
        <f t="shared" si="60"/>
        <v>0</v>
      </c>
      <c r="J215" s="523">
        <f>IFERROR(INDEX(EF!$G$127:$G$150,MATCH($C162,EF!$A$127:$A$150,0)),0)</f>
        <v>0</v>
      </c>
      <c r="K215" s="554">
        <f t="shared" ref="K215:K223" si="64">IF(ISNUMBER(J215),J215,0)</f>
        <v>0</v>
      </c>
      <c r="L215" s="554">
        <f t="shared" ref="L215:M215" si="65">K215</f>
        <v>0</v>
      </c>
      <c r="M215" s="554">
        <f t="shared" si="65"/>
        <v>0</v>
      </c>
      <c r="N215" s="445" t="s">
        <v>185</v>
      </c>
      <c r="O215" s="95"/>
      <c r="P215" s="383"/>
    </row>
    <row r="216" spans="1:16" ht="45" customHeight="1" x14ac:dyDescent="0.35">
      <c r="A216" s="559"/>
      <c r="B216" s="738" t="str">
        <f t="shared" si="62"/>
        <v/>
      </c>
      <c r="C216" s="427" t="str">
        <f t="shared" si="63"/>
        <v>Slamtype</v>
      </c>
      <c r="D216" s="428" t="str">
        <f>IFERROR(INDEX(EF!$B$127:$B$150, MATCH(C163, EF!$A$127:$A$150, 0)) &amp; " til " &amp; INDEX(EF!$C$127:$C$150, MATCH(C163, EF!$A$127:$A$150, 0)),"")</f>
        <v/>
      </c>
      <c r="E216" s="385" t="s">
        <v>184</v>
      </c>
      <c r="F216" s="266">
        <f t="shared" si="60"/>
        <v>0</v>
      </c>
      <c r="G216" s="266">
        <f t="shared" si="60"/>
        <v>0</v>
      </c>
      <c r="H216" s="266">
        <f t="shared" si="60"/>
        <v>0</v>
      </c>
      <c r="I216" s="267">
        <f t="shared" si="60"/>
        <v>0</v>
      </c>
      <c r="J216" s="523">
        <f>IFERROR(INDEX(EF!$G$127:$G$150,MATCH($C163,EF!$A$127:$A$150,0)),0)</f>
        <v>0</v>
      </c>
      <c r="K216" s="554">
        <f t="shared" si="64"/>
        <v>0</v>
      </c>
      <c r="L216" s="554">
        <f t="shared" ref="L216:M216" si="66">K216</f>
        <v>0</v>
      </c>
      <c r="M216" s="554">
        <f t="shared" si="66"/>
        <v>0</v>
      </c>
      <c r="N216" s="445" t="s">
        <v>185</v>
      </c>
      <c r="O216" s="95"/>
      <c r="P216" s="383"/>
    </row>
    <row r="217" spans="1:16" ht="45" customHeight="1" x14ac:dyDescent="0.35">
      <c r="A217" s="559"/>
      <c r="B217" s="738" t="str">
        <f t="shared" si="62"/>
        <v/>
      </c>
      <c r="C217" s="427" t="str">
        <f t="shared" si="63"/>
        <v>Slamtype</v>
      </c>
      <c r="D217" s="428" t="str">
        <f>IFERROR(INDEX(EF!$B$127:$B$150, MATCH(C164, EF!$A$127:$A$150, 0)) &amp; " til " &amp; INDEX(EF!$C$127:$C$150, MATCH(C164, EF!$A$127:$A$150, 0)),"")</f>
        <v/>
      </c>
      <c r="E217" s="385" t="s">
        <v>184</v>
      </c>
      <c r="F217" s="266">
        <f t="shared" si="60"/>
        <v>0</v>
      </c>
      <c r="G217" s="266">
        <f t="shared" si="60"/>
        <v>0</v>
      </c>
      <c r="H217" s="266">
        <f t="shared" si="60"/>
        <v>0</v>
      </c>
      <c r="I217" s="267">
        <f t="shared" si="60"/>
        <v>0</v>
      </c>
      <c r="J217" s="523">
        <f>IFERROR(INDEX(EF!$G$127:$G$150,MATCH($C164,EF!$A$127:$A$150,0)),0)</f>
        <v>0</v>
      </c>
      <c r="K217" s="554">
        <f t="shared" si="64"/>
        <v>0</v>
      </c>
      <c r="L217" s="554">
        <f t="shared" ref="L217:M217" si="67">K217</f>
        <v>0</v>
      </c>
      <c r="M217" s="554">
        <f t="shared" si="67"/>
        <v>0</v>
      </c>
      <c r="N217" s="445" t="s">
        <v>185</v>
      </c>
      <c r="O217" s="95"/>
      <c r="P217" s="383"/>
    </row>
    <row r="218" spans="1:16" ht="45" customHeight="1" x14ac:dyDescent="0.35">
      <c r="A218" s="559"/>
      <c r="B218" s="738" t="str">
        <f t="shared" si="62"/>
        <v/>
      </c>
      <c r="C218" s="427" t="str">
        <f t="shared" si="63"/>
        <v>Slamtype</v>
      </c>
      <c r="D218" s="428" t="str">
        <f>IFERROR(INDEX(EF!$B$127:$B$150, MATCH(C165, EF!$A$127:$A$150, 0)) &amp; " til " &amp; INDEX(EF!$C$127:$C$150, MATCH(C165, EF!$A$127:$A$150, 0)),"")</f>
        <v/>
      </c>
      <c r="E218" s="385" t="s">
        <v>184</v>
      </c>
      <c r="F218" s="266">
        <f t="shared" si="60"/>
        <v>0</v>
      </c>
      <c r="G218" s="266">
        <f t="shared" si="60"/>
        <v>0</v>
      </c>
      <c r="H218" s="266">
        <f t="shared" si="60"/>
        <v>0</v>
      </c>
      <c r="I218" s="267">
        <f t="shared" si="60"/>
        <v>0</v>
      </c>
      <c r="J218" s="523">
        <f>IFERROR(INDEX(EF!$G$127:$G$150,MATCH($C165,EF!$A$127:$A$150,0)),0)</f>
        <v>0</v>
      </c>
      <c r="K218" s="554">
        <f t="shared" si="64"/>
        <v>0</v>
      </c>
      <c r="L218" s="554">
        <f t="shared" ref="L218:M218" si="68">K218</f>
        <v>0</v>
      </c>
      <c r="M218" s="554">
        <f t="shared" si="68"/>
        <v>0</v>
      </c>
      <c r="N218" s="445" t="s">
        <v>185</v>
      </c>
      <c r="O218" s="95"/>
      <c r="P218" s="383"/>
    </row>
    <row r="219" spans="1:16" ht="45" customHeight="1" x14ac:dyDescent="0.35">
      <c r="A219" s="559"/>
      <c r="B219" s="738" t="str">
        <f t="shared" si="62"/>
        <v/>
      </c>
      <c r="C219" s="427" t="str">
        <f t="shared" si="63"/>
        <v>Slamtype</v>
      </c>
      <c r="D219" s="428" t="str">
        <f>IFERROR(INDEX(EF!$B$127:$B$150, MATCH(C166, EF!$A$127:$A$150, 0)) &amp; " til " &amp; INDEX(EF!$C$127:$C$150, MATCH(C166, EF!$A$127:$A$150, 0)),"")</f>
        <v/>
      </c>
      <c r="E219" s="385" t="s">
        <v>184</v>
      </c>
      <c r="F219" s="266">
        <f t="shared" si="60"/>
        <v>0</v>
      </c>
      <c r="G219" s="266">
        <f t="shared" si="60"/>
        <v>0</v>
      </c>
      <c r="H219" s="266">
        <f t="shared" si="60"/>
        <v>0</v>
      </c>
      <c r="I219" s="267">
        <f t="shared" si="60"/>
        <v>0</v>
      </c>
      <c r="J219" s="523">
        <f>IFERROR(INDEX(EF!$G$127:$G$150,MATCH($C166,EF!$A$127:$A$150,0)),0)</f>
        <v>0</v>
      </c>
      <c r="K219" s="554">
        <f t="shared" si="64"/>
        <v>0</v>
      </c>
      <c r="L219" s="554">
        <f t="shared" ref="L219:M219" si="69">K219</f>
        <v>0</v>
      </c>
      <c r="M219" s="554">
        <f t="shared" si="69"/>
        <v>0</v>
      </c>
      <c r="N219" s="445" t="s">
        <v>185</v>
      </c>
      <c r="O219" s="95"/>
      <c r="P219" s="383"/>
    </row>
    <row r="220" spans="1:16" ht="45" customHeight="1" x14ac:dyDescent="0.35">
      <c r="A220" s="559"/>
      <c r="B220" s="738" t="str">
        <f t="shared" si="62"/>
        <v/>
      </c>
      <c r="C220" s="427" t="str">
        <f t="shared" si="63"/>
        <v>Slamtype</v>
      </c>
      <c r="D220" s="428" t="str">
        <f>IFERROR(INDEX(EF!$B$127:$B$150, MATCH(C167, EF!$A$127:$A$150, 0)) &amp; " til " &amp; INDEX(EF!$C$127:$C$150, MATCH(C167, EF!$A$127:$A$150, 0)),"")</f>
        <v/>
      </c>
      <c r="E220" s="385" t="s">
        <v>184</v>
      </c>
      <c r="F220" s="266">
        <f t="shared" si="60"/>
        <v>0</v>
      </c>
      <c r="G220" s="266">
        <f t="shared" si="60"/>
        <v>0</v>
      </c>
      <c r="H220" s="266">
        <f t="shared" si="60"/>
        <v>0</v>
      </c>
      <c r="I220" s="267">
        <f t="shared" si="60"/>
        <v>0</v>
      </c>
      <c r="J220" s="523">
        <f>IFERROR(INDEX(EF!$G$127:$G$150,MATCH($C167,EF!$A$127:$A$150,0)),0)</f>
        <v>0</v>
      </c>
      <c r="K220" s="554">
        <f t="shared" si="64"/>
        <v>0</v>
      </c>
      <c r="L220" s="554">
        <f t="shared" ref="L220:M220" si="70">K220</f>
        <v>0</v>
      </c>
      <c r="M220" s="554">
        <f t="shared" si="70"/>
        <v>0</v>
      </c>
      <c r="N220" s="445" t="s">
        <v>185</v>
      </c>
      <c r="O220" s="95"/>
      <c r="P220" s="383"/>
    </row>
    <row r="221" spans="1:16" ht="45" customHeight="1" x14ac:dyDescent="0.35">
      <c r="A221" s="559"/>
      <c r="B221" s="738" t="str">
        <f t="shared" si="62"/>
        <v/>
      </c>
      <c r="C221" s="427" t="str">
        <f t="shared" si="63"/>
        <v>Slamtype</v>
      </c>
      <c r="D221" s="428" t="str">
        <f>IFERROR(INDEX(EF!$B$127:$B$150, MATCH(C168, EF!$A$127:$A$150, 0)) &amp; " til " &amp; INDEX(EF!$C$127:$C$150, MATCH(C168, EF!$A$127:$A$150, 0)),"")</f>
        <v/>
      </c>
      <c r="E221" s="385" t="s">
        <v>184</v>
      </c>
      <c r="F221" s="266">
        <f t="shared" si="60"/>
        <v>0</v>
      </c>
      <c r="G221" s="266">
        <f t="shared" si="60"/>
        <v>0</v>
      </c>
      <c r="H221" s="266">
        <f t="shared" si="60"/>
        <v>0</v>
      </c>
      <c r="I221" s="267">
        <f t="shared" si="60"/>
        <v>0</v>
      </c>
      <c r="J221" s="523">
        <f>IFERROR(INDEX(EF!$G$127:$G$150,MATCH($C168,EF!$A$127:$A$150,0)),0)</f>
        <v>0</v>
      </c>
      <c r="K221" s="554">
        <f t="shared" si="64"/>
        <v>0</v>
      </c>
      <c r="L221" s="554">
        <f t="shared" ref="L221:M221" si="71">K221</f>
        <v>0</v>
      </c>
      <c r="M221" s="554">
        <f t="shared" si="71"/>
        <v>0</v>
      </c>
      <c r="N221" s="445" t="s">
        <v>185</v>
      </c>
      <c r="O221" s="95"/>
      <c r="P221" s="383"/>
    </row>
    <row r="222" spans="1:16" ht="45" customHeight="1" x14ac:dyDescent="0.35">
      <c r="A222" s="559"/>
      <c r="B222" s="738" t="str">
        <f t="shared" si="62"/>
        <v/>
      </c>
      <c r="C222" s="427" t="str">
        <f t="shared" si="63"/>
        <v>Slamtype</v>
      </c>
      <c r="D222" s="428" t="str">
        <f>IFERROR(INDEX(EF!$B$127:$B$150, MATCH(C169, EF!$A$127:$A$150, 0)) &amp; " til " &amp; INDEX(EF!$C$127:$C$150, MATCH(C169, EF!$A$127:$A$150, 0)),"")</f>
        <v/>
      </c>
      <c r="E222" s="385" t="s">
        <v>184</v>
      </c>
      <c r="F222" s="266">
        <f t="shared" si="60"/>
        <v>0</v>
      </c>
      <c r="G222" s="266">
        <f t="shared" si="60"/>
        <v>0</v>
      </c>
      <c r="H222" s="266">
        <f t="shared" si="60"/>
        <v>0</v>
      </c>
      <c r="I222" s="267">
        <f t="shared" si="60"/>
        <v>0</v>
      </c>
      <c r="J222" s="523">
        <f>IFERROR(INDEX(EF!$G$127:$G$150,MATCH($C169,EF!$A$127:$A$150,0)),0)</f>
        <v>0</v>
      </c>
      <c r="K222" s="554">
        <f t="shared" si="64"/>
        <v>0</v>
      </c>
      <c r="L222" s="554">
        <f t="shared" ref="L222:M222" si="72">K222</f>
        <v>0</v>
      </c>
      <c r="M222" s="554">
        <f t="shared" si="72"/>
        <v>0</v>
      </c>
      <c r="N222" s="445" t="s">
        <v>185</v>
      </c>
      <c r="O222" s="95"/>
      <c r="P222" s="383"/>
    </row>
    <row r="223" spans="1:16" ht="45" customHeight="1" thickBot="1" x14ac:dyDescent="0.4">
      <c r="A223" s="559"/>
      <c r="B223" s="738" t="str">
        <f t="shared" si="62"/>
        <v/>
      </c>
      <c r="C223" s="378" t="str">
        <f t="shared" si="63"/>
        <v>Slamtype</v>
      </c>
      <c r="D223" s="495" t="str">
        <f>IFERROR(INDEX(EF!$B$127:$B$150, MATCH(C170, EF!$A$127:$A$150, 0)) &amp; " til " &amp; INDEX(EF!$C$127:$C$150, MATCH(C170, EF!$A$127:$A$150, 0)),"")</f>
        <v/>
      </c>
      <c r="E223" s="555" t="s">
        <v>184</v>
      </c>
      <c r="F223" s="268">
        <f t="shared" si="60"/>
        <v>0</v>
      </c>
      <c r="G223" s="268">
        <f t="shared" si="60"/>
        <v>0</v>
      </c>
      <c r="H223" s="268">
        <f t="shared" si="60"/>
        <v>0</v>
      </c>
      <c r="I223" s="269">
        <f t="shared" si="60"/>
        <v>0</v>
      </c>
      <c r="J223" s="524">
        <f>IFERROR(INDEX(EF!$G$127:$G$150,MATCH($C170,EF!$A$127:$A$150,0)),0)</f>
        <v>0</v>
      </c>
      <c r="K223" s="557">
        <f t="shared" si="64"/>
        <v>0</v>
      </c>
      <c r="L223" s="557">
        <f t="shared" ref="L223:M223" si="73">K223</f>
        <v>0</v>
      </c>
      <c r="M223" s="557">
        <f t="shared" si="73"/>
        <v>0</v>
      </c>
      <c r="N223" s="564" t="s">
        <v>185</v>
      </c>
      <c r="O223" s="739"/>
    </row>
    <row r="224" spans="1:16" ht="45" customHeight="1" x14ac:dyDescent="0.5">
      <c r="B224" s="565"/>
      <c r="C224" s="453"/>
      <c r="D224" s="453"/>
      <c r="E224" s="453"/>
      <c r="F224" s="453"/>
      <c r="G224" s="453"/>
      <c r="H224" s="453"/>
      <c r="I224" s="453"/>
      <c r="J224" s="453"/>
      <c r="K224" s="453"/>
      <c r="L224" s="453"/>
      <c r="M224" s="453"/>
      <c r="N224" s="453"/>
      <c r="O224" s="467"/>
      <c r="P224" s="453"/>
    </row>
    <row r="225" spans="2:16" ht="45" customHeight="1" thickBot="1" x14ac:dyDescent="0.4">
      <c r="O225" s="120"/>
    </row>
    <row r="226" spans="2:16" ht="45" customHeight="1" thickBot="1" x14ac:dyDescent="0.55000000000000004">
      <c r="B226" s="383"/>
      <c r="C226" s="362" t="s">
        <v>130</v>
      </c>
      <c r="D226" s="363"/>
      <c r="E226" s="364"/>
      <c r="F226" s="364"/>
      <c r="G226" s="364"/>
      <c r="H226" s="364"/>
      <c r="I226" s="364"/>
      <c r="J226" s="364"/>
      <c r="K226" s="364"/>
      <c r="L226" s="365"/>
      <c r="M226" s="365"/>
      <c r="N226" s="121"/>
      <c r="O226" s="366" t="s">
        <v>1467</v>
      </c>
      <c r="P226" s="383"/>
    </row>
    <row r="227" spans="2:16" ht="45" customHeight="1" x14ac:dyDescent="0.35">
      <c r="C227" s="902" t="s">
        <v>1180</v>
      </c>
      <c r="D227" s="903"/>
      <c r="E227" s="904"/>
      <c r="F227" s="367" t="s">
        <v>32</v>
      </c>
      <c r="G227" s="368"/>
      <c r="H227" s="369" t="s">
        <v>33</v>
      </c>
      <c r="I227" s="369"/>
      <c r="J227" s="908" t="s">
        <v>34</v>
      </c>
      <c r="K227" s="909"/>
      <c r="L227" s="909"/>
      <c r="M227" s="909"/>
      <c r="N227" s="910"/>
      <c r="O227" s="484" t="s">
        <v>36</v>
      </c>
    </row>
    <row r="228" spans="2:16" ht="45" customHeight="1" x14ac:dyDescent="0.35">
      <c r="C228" s="905" t="s">
        <v>1175</v>
      </c>
      <c r="D228" s="906"/>
      <c r="E228" s="907"/>
      <c r="F228" s="372">
        <v>2023</v>
      </c>
      <c r="G228" s="372">
        <v>2025</v>
      </c>
      <c r="H228" s="372">
        <f t="shared" ref="H228:I228" si="74">G228+5</f>
        <v>2030</v>
      </c>
      <c r="I228" s="424">
        <f t="shared" si="74"/>
        <v>2035</v>
      </c>
      <c r="J228" s="526">
        <v>2023</v>
      </c>
      <c r="K228" s="527">
        <v>2025</v>
      </c>
      <c r="L228" s="527">
        <v>2030</v>
      </c>
      <c r="M228" s="527">
        <v>2035</v>
      </c>
      <c r="N228" s="528" t="s">
        <v>35</v>
      </c>
      <c r="O228" s="529"/>
    </row>
    <row r="229" spans="2:16" ht="45" customHeight="1" x14ac:dyDescent="0.4">
      <c r="B229" s="504" t="str">
        <f>IF(AND(ISNUMBER(J229),J229&gt;0),"OBS! Husk negativt fortegn ved EF","")</f>
        <v/>
      </c>
      <c r="C229" s="431" t="s">
        <v>1207</v>
      </c>
      <c r="D229" s="478" t="s">
        <v>1192</v>
      </c>
      <c r="E229" s="385" t="s">
        <v>117</v>
      </c>
      <c r="F229" s="86"/>
      <c r="G229" s="86"/>
      <c r="H229" s="86"/>
      <c r="I229" s="98"/>
      <c r="J229" s="212" t="s">
        <v>145</v>
      </c>
      <c r="K229" s="391">
        <f t="shared" ref="K229:M233" si="75">IF(ISNUMBER($J229),$J229,0)</f>
        <v>0</v>
      </c>
      <c r="L229" s="391">
        <f t="shared" si="75"/>
        <v>0</v>
      </c>
      <c r="M229" s="391">
        <f t="shared" si="75"/>
        <v>0</v>
      </c>
      <c r="N229" s="445" t="s">
        <v>201</v>
      </c>
      <c r="O229" s="109" t="s">
        <v>1182</v>
      </c>
    </row>
    <row r="230" spans="2:16" ht="45" customHeight="1" x14ac:dyDescent="0.4">
      <c r="B230" s="504" t="str">
        <f>IF(AND(ISNUMBER(J230),J230&gt;0),"OBS! Husk negativt fortegn ved EF","")</f>
        <v/>
      </c>
      <c r="C230" s="431" t="s">
        <v>1190</v>
      </c>
      <c r="D230" s="401" t="s">
        <v>1191</v>
      </c>
      <c r="E230" s="385" t="s">
        <v>117</v>
      </c>
      <c r="F230" s="86"/>
      <c r="G230" s="86"/>
      <c r="H230" s="86"/>
      <c r="I230" s="98"/>
      <c r="J230" s="212" t="s">
        <v>145</v>
      </c>
      <c r="K230" s="391">
        <f t="shared" si="75"/>
        <v>0</v>
      </c>
      <c r="L230" s="391">
        <f t="shared" si="75"/>
        <v>0</v>
      </c>
      <c r="M230" s="391">
        <f t="shared" si="75"/>
        <v>0</v>
      </c>
      <c r="N230" s="445" t="s">
        <v>201</v>
      </c>
      <c r="O230" s="113" t="s">
        <v>121</v>
      </c>
    </row>
    <row r="231" spans="2:16" ht="45" customHeight="1" x14ac:dyDescent="0.4">
      <c r="B231" s="504" t="str">
        <f>IF(AND(ISNUMBER(J231),J231&gt;0),"OBS! Husk negativt fortegn ved EF","")</f>
        <v/>
      </c>
      <c r="C231" s="431" t="s">
        <v>119</v>
      </c>
      <c r="D231" s="401" t="s">
        <v>1364</v>
      </c>
      <c r="E231" s="385" t="s">
        <v>117</v>
      </c>
      <c r="F231" s="86"/>
      <c r="G231" s="86"/>
      <c r="H231" s="86"/>
      <c r="I231" s="98"/>
      <c r="J231" s="212" t="s">
        <v>145</v>
      </c>
      <c r="K231" s="391">
        <f t="shared" si="75"/>
        <v>0</v>
      </c>
      <c r="L231" s="391">
        <f t="shared" si="75"/>
        <v>0</v>
      </c>
      <c r="M231" s="391">
        <f t="shared" si="75"/>
        <v>0</v>
      </c>
      <c r="N231" s="445" t="s">
        <v>201</v>
      </c>
      <c r="O231" s="113" t="s">
        <v>121</v>
      </c>
    </row>
    <row r="232" spans="2:16" ht="45" customHeight="1" x14ac:dyDescent="0.4">
      <c r="B232" s="504" t="str">
        <f>IF(AND(ISNUMBER(J232),J232&gt;0),"OBS! Husk negativt fortegn ved EF","")</f>
        <v/>
      </c>
      <c r="C232" s="431" t="s">
        <v>122</v>
      </c>
      <c r="D232" s="566" t="s">
        <v>133</v>
      </c>
      <c r="E232" s="385" t="s">
        <v>117</v>
      </c>
      <c r="F232" s="86"/>
      <c r="G232" s="86"/>
      <c r="H232" s="86"/>
      <c r="I232" s="98"/>
      <c r="J232" s="212" t="s">
        <v>145</v>
      </c>
      <c r="K232" s="391">
        <f t="shared" si="75"/>
        <v>0</v>
      </c>
      <c r="L232" s="391">
        <f t="shared" si="75"/>
        <v>0</v>
      </c>
      <c r="M232" s="391">
        <f t="shared" si="75"/>
        <v>0</v>
      </c>
      <c r="N232" s="445" t="s">
        <v>201</v>
      </c>
      <c r="O232" s="113" t="s">
        <v>121</v>
      </c>
    </row>
    <row r="233" spans="2:16" ht="45" customHeight="1" thickBot="1" x14ac:dyDescent="0.45">
      <c r="B233" s="504" t="str">
        <f>IF(AND(ISNUMBER(J233),J233&gt;0),"OBS! Husk negativt fortegn ved EF","")</f>
        <v/>
      </c>
      <c r="C233" s="378" t="s">
        <v>202</v>
      </c>
      <c r="D233" s="495" t="s">
        <v>134</v>
      </c>
      <c r="E233" s="380" t="s">
        <v>117</v>
      </c>
      <c r="F233" s="218"/>
      <c r="G233" s="218"/>
      <c r="H233" s="218"/>
      <c r="I233" s="219"/>
      <c r="J233" s="213" t="s">
        <v>145</v>
      </c>
      <c r="K233" s="465">
        <f t="shared" si="75"/>
        <v>0</v>
      </c>
      <c r="L233" s="465">
        <f t="shared" si="75"/>
        <v>0</v>
      </c>
      <c r="M233" s="465">
        <f t="shared" si="75"/>
        <v>0</v>
      </c>
      <c r="N233" s="433" t="s">
        <v>201</v>
      </c>
      <c r="O233" s="114" t="s">
        <v>121</v>
      </c>
    </row>
    <row r="234" spans="2:16" ht="45" customHeight="1" x14ac:dyDescent="0.35"/>
    <row r="235" spans="2:16" ht="45" customHeight="1" x14ac:dyDescent="0.35">
      <c r="O235" s="120"/>
    </row>
    <row r="236" spans="2:16" ht="45" customHeight="1" x14ac:dyDescent="0.5">
      <c r="B236" s="359" t="s">
        <v>1474</v>
      </c>
      <c r="C236" s="505"/>
      <c r="D236" s="505"/>
      <c r="E236" s="505"/>
      <c r="F236" s="505"/>
      <c r="G236" s="505"/>
      <c r="H236" s="505"/>
      <c r="I236" s="505"/>
      <c r="J236" s="505"/>
      <c r="K236" s="505"/>
      <c r="L236" s="505"/>
      <c r="M236" s="505"/>
      <c r="N236" s="505"/>
      <c r="O236" s="506"/>
      <c r="P236" s="360"/>
    </row>
    <row r="237" spans="2:16" ht="45" customHeight="1" thickBot="1" x14ac:dyDescent="0.4">
      <c r="O237" s="120"/>
    </row>
    <row r="238" spans="2:16" ht="45" customHeight="1" thickBot="1" x14ac:dyDescent="0.65">
      <c r="C238" s="560" t="s">
        <v>135</v>
      </c>
      <c r="D238" s="363"/>
      <c r="E238" s="364"/>
      <c r="F238" s="364"/>
      <c r="G238" s="364"/>
      <c r="H238" s="364"/>
      <c r="I238" s="364"/>
      <c r="J238" s="364"/>
      <c r="K238" s="364"/>
      <c r="L238" s="365"/>
      <c r="M238" s="365"/>
      <c r="N238" s="121"/>
      <c r="O238" s="366" t="s">
        <v>1468</v>
      </c>
    </row>
    <row r="239" spans="2:16" ht="45" customHeight="1" x14ac:dyDescent="0.35">
      <c r="C239" s="902" t="s">
        <v>136</v>
      </c>
      <c r="D239" s="903"/>
      <c r="E239" s="904"/>
      <c r="F239" s="367" t="s">
        <v>32</v>
      </c>
      <c r="G239" s="368"/>
      <c r="H239" s="369" t="s">
        <v>33</v>
      </c>
      <c r="I239" s="369"/>
      <c r="J239" s="908" t="s">
        <v>34</v>
      </c>
      <c r="K239" s="909"/>
      <c r="L239" s="909"/>
      <c r="M239" s="909"/>
      <c r="N239" s="910"/>
      <c r="O239" s="484" t="s">
        <v>36</v>
      </c>
    </row>
    <row r="240" spans="2:16" ht="45" customHeight="1" x14ac:dyDescent="0.35">
      <c r="C240" s="567"/>
      <c r="D240" s="568"/>
      <c r="E240" s="569"/>
      <c r="F240" s="372">
        <v>2023</v>
      </c>
      <c r="G240" s="372">
        <v>2025</v>
      </c>
      <c r="H240" s="372">
        <f t="shared" ref="H240" si="76">G240+5</f>
        <v>2030</v>
      </c>
      <c r="I240" s="424">
        <f t="shared" ref="I240" si="77">H240+5</f>
        <v>2035</v>
      </c>
      <c r="J240" s="374">
        <v>2023</v>
      </c>
      <c r="K240" s="375">
        <v>2025</v>
      </c>
      <c r="L240" s="375">
        <v>2030</v>
      </c>
      <c r="M240" s="375">
        <v>2035</v>
      </c>
      <c r="N240" s="376" t="s">
        <v>35</v>
      </c>
      <c r="O240" s="529"/>
    </row>
    <row r="241" spans="2:16" ht="45" customHeight="1" x14ac:dyDescent="0.35">
      <c r="B241" s="120"/>
      <c r="C241" s="431" t="s">
        <v>137</v>
      </c>
      <c r="D241" s="428" t="s">
        <v>138</v>
      </c>
      <c r="E241" s="385" t="s">
        <v>39</v>
      </c>
      <c r="F241" s="214">
        <f>IF(ISNUMBER(INDEX('Data SPV rens'!T5:T107,MATCH(C2,'Data SPV rens'!A5:A107,0))),INDEX('Data SPV rens'!T5:T107,MATCH(C2,'Data SPV rens'!A5:A107,0)),0)</f>
        <v>0</v>
      </c>
      <c r="G241" s="86"/>
      <c r="H241" s="86"/>
      <c r="I241" s="98"/>
      <c r="J241" s="490">
        <f>-SUM(J84,J146)</f>
        <v>-5.9835081772502977E-2</v>
      </c>
      <c r="K241" s="391">
        <f>-SUM(K84,K146)</f>
        <v>-4.619645545304716E-2</v>
      </c>
      <c r="L241" s="391">
        <f>-SUM(L84,L146)</f>
        <v>-2.3617762562049623E-2</v>
      </c>
      <c r="M241" s="391">
        <f>-SUM(M84,M146)</f>
        <v>-1.4674540925272202E-2</v>
      </c>
      <c r="N241" s="445" t="s">
        <v>201</v>
      </c>
      <c r="O241" s="833"/>
    </row>
    <row r="242" spans="2:16" ht="45" customHeight="1" thickBot="1" x14ac:dyDescent="0.4">
      <c r="B242" s="120"/>
      <c r="C242" s="378" t="s">
        <v>139</v>
      </c>
      <c r="D242" s="495" t="s">
        <v>140</v>
      </c>
      <c r="E242" s="385" t="s">
        <v>39</v>
      </c>
      <c r="F242" s="216">
        <f>IF(ISNUMBER(INDEX('Data SPV rens'!U5:U107,MATCH(C2,'Data SPV rens'!A5:A107,0))),INDEX('Data SPV rens'!U5:U107,MATCH(C2,'Data SPV rens'!A5:A107,0)),0)</f>
        <v>0</v>
      </c>
      <c r="G242" s="218"/>
      <c r="H242" s="218"/>
      <c r="I242" s="219"/>
      <c r="J242" s="493">
        <f>-SUM(J84,J146)</f>
        <v>-5.9835081772502977E-2</v>
      </c>
      <c r="K242" s="465">
        <f>-SUM(K84,K146)</f>
        <v>-4.619645545304716E-2</v>
      </c>
      <c r="L242" s="465">
        <f>-SUM(L84,L146)</f>
        <v>-2.3617762562049623E-2</v>
      </c>
      <c r="M242" s="465">
        <f>-SUM(M84,M146)</f>
        <v>-1.4674540925272202E-2</v>
      </c>
      <c r="N242" s="433" t="s">
        <v>201</v>
      </c>
      <c r="O242" s="834"/>
    </row>
    <row r="243" spans="2:16" ht="45" customHeight="1" x14ac:dyDescent="0.35"/>
    <row r="244" spans="2:16" ht="45" customHeight="1" x14ac:dyDescent="0.5">
      <c r="B244" s="359"/>
      <c r="C244" s="505"/>
      <c r="D244" s="505"/>
      <c r="E244" s="505"/>
      <c r="F244" s="505"/>
      <c r="G244" s="505"/>
      <c r="H244" s="505"/>
      <c r="I244" s="505"/>
      <c r="J244" s="505"/>
      <c r="K244" s="505"/>
      <c r="L244" s="505"/>
      <c r="M244" s="505"/>
      <c r="N244" s="505"/>
      <c r="O244" s="505"/>
      <c r="P244" s="360"/>
    </row>
  </sheetData>
  <sheetProtection algorithmName="SHA-512" hashValue="Qoe0gy5uxfTYxJZvl7+dEw+qrpbjlMoasyuuL0Kavx8ij+KFivVbTq4a46WuPpNF7qtkW2W03cd7/PDTlnmuFQ==" saltValue="MYuO2bKQuViQlqLBhrjXtA==" spinCount="100000" sheet="1" formatCells="0"/>
  <mergeCells count="67">
    <mergeCell ref="J31:N31"/>
    <mergeCell ref="J98:N98"/>
    <mergeCell ref="J99:N99"/>
    <mergeCell ref="J212:N212"/>
    <mergeCell ref="J227:N227"/>
    <mergeCell ref="J239:N239"/>
    <mergeCell ref="J192:N192"/>
    <mergeCell ref="J96:N96"/>
    <mergeCell ref="J108:N108"/>
    <mergeCell ref="J159:N159"/>
    <mergeCell ref="J135:N135"/>
    <mergeCell ref="J143:N143"/>
    <mergeCell ref="J204:N204"/>
    <mergeCell ref="J177:N177"/>
    <mergeCell ref="J201:N201"/>
    <mergeCell ref="G133:I133"/>
    <mergeCell ref="J133:N133"/>
    <mergeCell ref="J151:N151"/>
    <mergeCell ref="J68:N68"/>
    <mergeCell ref="J59:N59"/>
    <mergeCell ref="J75:N75"/>
    <mergeCell ref="J82:N82"/>
    <mergeCell ref="J88:N88"/>
    <mergeCell ref="C20:E20"/>
    <mergeCell ref="C21:E21"/>
    <mergeCell ref="C96:E96"/>
    <mergeCell ref="C97:E97"/>
    <mergeCell ref="J29:N29"/>
    <mergeCell ref="J20:N20"/>
    <mergeCell ref="J22:N22"/>
    <mergeCell ref="J34:N34"/>
    <mergeCell ref="J38:N38"/>
    <mergeCell ref="J45:N45"/>
    <mergeCell ref="J51:N51"/>
    <mergeCell ref="J53:N53"/>
    <mergeCell ref="J61:N61"/>
    <mergeCell ref="J62:N62"/>
    <mergeCell ref="C29:E29"/>
    <mergeCell ref="C30:E30"/>
    <mergeCell ref="C134:E134"/>
    <mergeCell ref="C45:E45"/>
    <mergeCell ref="C51:E51"/>
    <mergeCell ref="C52:E52"/>
    <mergeCell ref="C59:E59"/>
    <mergeCell ref="C60:E60"/>
    <mergeCell ref="C68:E68"/>
    <mergeCell ref="C69:E69"/>
    <mergeCell ref="C75:E75"/>
    <mergeCell ref="C76:E76"/>
    <mergeCell ref="C82:E82"/>
    <mergeCell ref="C88:E88"/>
    <mergeCell ref="C108:E108"/>
    <mergeCell ref="C109:E109"/>
    <mergeCell ref="C133:E133"/>
    <mergeCell ref="C151:E151"/>
    <mergeCell ref="C159:E159"/>
    <mergeCell ref="C160:E160"/>
    <mergeCell ref="C177:E177"/>
    <mergeCell ref="C213:E213"/>
    <mergeCell ref="C227:E227"/>
    <mergeCell ref="C228:E228"/>
    <mergeCell ref="C239:E239"/>
    <mergeCell ref="C178:E178"/>
    <mergeCell ref="C192:E192"/>
    <mergeCell ref="C193:E193"/>
    <mergeCell ref="C201:E201"/>
    <mergeCell ref="C212:E212"/>
  </mergeCells>
  <conditionalFormatting sqref="F70:I71">
    <cfRule type="expression" dxfId="3" priority="19">
      <formula>OR($B$3=2753,$B$3=2651,$B$31431,$B$3=2803)</formula>
    </cfRule>
    <cfRule type="expression" dxfId="2" priority="20">
      <formula>OR(B$3&lt;&gt;2753,$B$3&lt;&gt;2651,$B$3&lt;&gt;1431,$B$3&lt;&gt;2803)</formula>
    </cfRule>
  </conditionalFormatting>
  <conditionalFormatting sqref="J179:M188">
    <cfRule type="cellIs" dxfId="1" priority="2" operator="equal">
      <formula>"Angiv selv"</formula>
    </cfRule>
  </conditionalFormatting>
  <conditionalFormatting sqref="J214:M223">
    <cfRule type="cellIs" dxfId="0" priority="1" operator="equal">
      <formula>"Angiv selv"</formula>
    </cfRule>
  </conditionalFormatting>
  <dataValidations count="2">
    <dataValidation type="list" allowBlank="1" showInputMessage="1" showErrorMessage="1" sqref="S66:V66" xr:uid="{395CDF4D-71A3-4655-BC0E-B3F0592F77B5}">
      <formula1>#REF!</formula1>
    </dataValidation>
    <dataValidation type="decimal" errorStyle="information" allowBlank="1" showInputMessage="1" showErrorMessage="1" error="Indsæt kun tal" sqref="F22:I242" xr:uid="{81E8A55B-0277-4C74-8FA7-E3F636B9BF90}">
      <formula1>0</formula1>
      <formula2>10000000000000000</formula2>
    </dataValidation>
  </dataValidations>
  <pageMargins left="0.7" right="0.7" top="0.75" bottom="0.75" header="0.3" footer="0.3"/>
  <pageSetup paperSize="9" scale="10" fitToWidth="0" orientation="portrait" r:id="rId1"/>
  <headerFooter scaleWithDoc="0" alignWithMargins="0"/>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D8C82D0F-018F-4FE3-AD5C-819A8CE2FDBA}">
          <x14:formula1>
            <xm:f>EF!$A$126:$A$150</xm:f>
          </x14:formula1>
          <xm:sqref>C161:C170</xm:sqref>
        </x14:dataValidation>
        <x14:dataValidation type="list" allowBlank="1" showInputMessage="1" showErrorMessage="1" xr:uid="{A3132216-E8BA-4B45-9397-2861FE304189}">
          <x14:formula1>
            <xm:f>EF!$A$78:$A$117</xm:f>
          </x14:formula1>
          <xm:sqref>C110:C119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00BDE-21B5-4E11-90C4-3873AA74D640}">
  <sheetPr codeName="Sheet13">
    <tabColor theme="9" tint="0.79998168889431442"/>
  </sheetPr>
  <dimension ref="A1:O204"/>
  <sheetViews>
    <sheetView showGridLines="0" zoomScale="50" zoomScaleNormal="50" workbookViewId="0">
      <selection activeCell="W95" sqref="W95"/>
    </sheetView>
  </sheetViews>
  <sheetFormatPr defaultRowHeight="14.5" outlineLevelRow="1" x14ac:dyDescent="0.35"/>
  <cols>
    <col min="1" max="1" width="9.1796875" style="298" customWidth="1"/>
    <col min="2" max="2" width="32.54296875" customWidth="1"/>
    <col min="3" max="3" width="37.1796875" customWidth="1"/>
    <col min="4" max="4" width="89.81640625" customWidth="1"/>
    <col min="5" max="14" width="15.7265625" customWidth="1"/>
    <col min="15" max="15" width="34.26953125" customWidth="1"/>
  </cols>
  <sheetData>
    <row r="1" spans="1:15" ht="30" customHeight="1" x14ac:dyDescent="0.35">
      <c r="A1"/>
    </row>
    <row r="2" spans="1:15" ht="30" customHeight="1" x14ac:dyDescent="0.35">
      <c r="A2"/>
    </row>
    <row r="3" spans="1:15" ht="30" customHeight="1" x14ac:dyDescent="0.35">
      <c r="A3"/>
    </row>
    <row r="4" spans="1:15" ht="30" customHeight="1" x14ac:dyDescent="0.35">
      <c r="A4"/>
    </row>
    <row r="5" spans="1:15" ht="30" customHeight="1" x14ac:dyDescent="0.35">
      <c r="A5"/>
    </row>
    <row r="6" spans="1:15" ht="30" customHeight="1" x14ac:dyDescent="0.35">
      <c r="A6"/>
      <c r="L6" s="3"/>
    </row>
    <row r="7" spans="1:15" ht="30" customHeight="1" x14ac:dyDescent="0.35">
      <c r="A7"/>
    </row>
    <row r="8" spans="1:15" ht="30" customHeight="1" x14ac:dyDescent="0.35">
      <c r="A8"/>
    </row>
    <row r="9" spans="1:15" ht="30" customHeight="1" x14ac:dyDescent="0.35">
      <c r="A9"/>
    </row>
    <row r="10" spans="1:15" ht="30" customHeight="1" x14ac:dyDescent="0.35">
      <c r="A10"/>
    </row>
    <row r="11" spans="1:15" ht="30" customHeight="1" x14ac:dyDescent="0.35">
      <c r="A11"/>
    </row>
    <row r="12" spans="1:15" ht="30" customHeight="1" x14ac:dyDescent="0.7">
      <c r="A12" s="116"/>
      <c r="F12" s="117"/>
    </row>
    <row r="13" spans="1:15" ht="30" customHeight="1" x14ac:dyDescent="0.7">
      <c r="A13" s="116"/>
      <c r="F13" s="117"/>
    </row>
    <row r="14" spans="1:15" ht="30" customHeight="1" x14ac:dyDescent="0.7">
      <c r="A14" s="118"/>
      <c r="C14" s="118"/>
      <c r="F14" s="119"/>
    </row>
    <row r="15" spans="1:15" ht="30" customHeight="1" x14ac:dyDescent="0.5">
      <c r="O15" s="591"/>
    </row>
    <row r="16" spans="1:15" ht="45" customHeight="1" x14ac:dyDescent="0.5">
      <c r="B16" s="381" t="s">
        <v>1319</v>
      </c>
      <c r="C16" s="382"/>
      <c r="D16" s="382"/>
      <c r="E16" s="382"/>
      <c r="F16" s="382"/>
      <c r="G16" s="382"/>
      <c r="H16" s="382"/>
      <c r="I16" s="382"/>
      <c r="J16" s="382"/>
      <c r="K16" s="382"/>
      <c r="L16" s="382"/>
      <c r="M16" s="382"/>
      <c r="N16" s="382"/>
      <c r="O16" s="382"/>
    </row>
    <row r="17" spans="1:15" ht="45" customHeight="1" x14ac:dyDescent="0.55000000000000004">
      <c r="B17" s="592" t="s">
        <v>1323</v>
      </c>
    </row>
    <row r="18" spans="1:15" ht="45" hidden="1" customHeight="1" outlineLevel="1" x14ac:dyDescent="0.5">
      <c r="C18" s="362" t="s">
        <v>1317</v>
      </c>
      <c r="D18" s="363"/>
      <c r="E18" s="364"/>
      <c r="F18" s="364"/>
      <c r="G18" s="364"/>
      <c r="H18" s="364"/>
      <c r="I18" s="364"/>
      <c r="J18" s="593"/>
      <c r="K18" s="594"/>
      <c r="L18" s="595"/>
      <c r="M18" s="595"/>
      <c r="N18" s="596"/>
      <c r="O18" s="7"/>
    </row>
    <row r="19" spans="1:15" ht="45" hidden="1" customHeight="1" outlineLevel="1" x14ac:dyDescent="0.35">
      <c r="C19" s="949" t="s">
        <v>1330</v>
      </c>
      <c r="D19" s="950"/>
      <c r="E19" s="597"/>
      <c r="F19" s="367" t="s">
        <v>32</v>
      </c>
      <c r="G19" s="368"/>
      <c r="H19" s="369" t="s">
        <v>33</v>
      </c>
      <c r="I19" s="369"/>
      <c r="J19" s="598"/>
      <c r="K19" s="599" t="s">
        <v>32</v>
      </c>
      <c r="L19" s="368"/>
      <c r="M19" s="369" t="s">
        <v>33</v>
      </c>
      <c r="N19" s="370"/>
      <c r="O19" s="7"/>
    </row>
    <row r="20" spans="1:15" ht="45" hidden="1" customHeight="1" outlineLevel="1" x14ac:dyDescent="0.35">
      <c r="C20" s="905" t="s">
        <v>1329</v>
      </c>
      <c r="D20" s="907"/>
      <c r="E20" s="600" t="s">
        <v>1318</v>
      </c>
      <c r="F20" s="372">
        <v>2023</v>
      </c>
      <c r="G20" s="372">
        <v>2025</v>
      </c>
      <c r="H20" s="372">
        <f t="shared" ref="H20:I20" si="0">G20+5</f>
        <v>2030</v>
      </c>
      <c r="I20" s="426">
        <f t="shared" si="0"/>
        <v>2035</v>
      </c>
      <c r="J20" s="601"/>
      <c r="K20" s="602">
        <v>2023</v>
      </c>
      <c r="L20" s="372">
        <v>2025</v>
      </c>
      <c r="M20" s="372">
        <f t="shared" ref="M20" si="1">L20+5</f>
        <v>2030</v>
      </c>
      <c r="N20" s="373">
        <f t="shared" ref="N20" si="2">M20+5</f>
        <v>2035</v>
      </c>
      <c r="O20" s="7"/>
    </row>
    <row r="21" spans="1:15" ht="45" hidden="1" customHeight="1" outlineLevel="1" x14ac:dyDescent="0.35">
      <c r="C21" s="603" t="s">
        <v>40</v>
      </c>
      <c r="D21" s="395" t="s">
        <v>1316</v>
      </c>
      <c r="E21" s="570" t="s">
        <v>1351</v>
      </c>
      <c r="F21" s="88"/>
      <c r="G21" s="88"/>
      <c r="H21" s="88"/>
      <c r="I21" s="93"/>
      <c r="J21" s="605" t="s">
        <v>39</v>
      </c>
      <c r="K21" s="606" t="str">
        <f>IF($E21="kWh/år",F21,IF($E21="MWh/år",F21/1000,IF($E21="GWh/år",F21/10^6,IF($E21="GJ/år",F21*EF!$F$7,""))))</f>
        <v/>
      </c>
      <c r="L21" s="606" t="str">
        <f>IF($E21="kWh/år",G21,IF($E21="MWh/år",G21/1000,IF($E21="GWh/år",G21/10^6,IF($E21="GJ/år",G21*EF!$F$7,""))))</f>
        <v/>
      </c>
      <c r="M21" s="606" t="str">
        <f>IF($E21="kWh/år",H21,IF($E21="MWh/år",H21/1000,IF($E21="GWh/år",H21/10^6,IF($E21="GJ/år",H21*EF!$F$7,""))))</f>
        <v/>
      </c>
      <c r="N21" s="607" t="str">
        <f>IF($E21="kWh/år",I21,IF($E21="MWh/år",I21/1000,IF($E21="GWh/år",I21/10^6,IF($E21="GJ/år",I21*EF!$F$7,""))))</f>
        <v/>
      </c>
      <c r="O21" s="7"/>
    </row>
    <row r="22" spans="1:15" ht="45" hidden="1" customHeight="1" outlineLevel="1" x14ac:dyDescent="0.35">
      <c r="C22" s="608" t="s">
        <v>87</v>
      </c>
      <c r="D22" s="385" t="s">
        <v>1315</v>
      </c>
      <c r="E22" s="570" t="s">
        <v>1351</v>
      </c>
      <c r="F22" s="88"/>
      <c r="G22" s="88"/>
      <c r="H22" s="88"/>
      <c r="I22" s="93"/>
      <c r="J22" s="605" t="s">
        <v>39</v>
      </c>
      <c r="K22" s="606" t="str">
        <f>IF($E22="kWh/år",F22,IF($E22="MWh/år",F22/1000,IF($E22="GWh/år",F22/10^6,IF($E22="GJ/år",F22*EF!$F$7,""))))</f>
        <v/>
      </c>
      <c r="L22" s="606" t="str">
        <f>IF($E22="kWh/år",G22,IF($E22="MWh/år",G22/1000,IF($E22="GWh/år",G22/10^6,IF($E22="GJ/år",G22*EF!$F$7,""))))</f>
        <v/>
      </c>
      <c r="M22" s="606" t="str">
        <f>IF($E22="kWh/år",H22,IF($E22="MWh/år",H22/1000,IF($E22="GWh/år",H22/10^6,IF($E22="GJ/år",H22*EF!$F$7,""))))</f>
        <v/>
      </c>
      <c r="N22" s="607" t="str">
        <f>IF($E22="kWh/år",I22,IF($E22="MWh/år",I22/1000,IF($E22="GWh/år",I22/10^6,IF($E22="GJ/år",I22*EF!$F$7,""))))</f>
        <v/>
      </c>
      <c r="O22" s="7"/>
    </row>
    <row r="23" spans="1:15" ht="45" hidden="1" customHeight="1" outlineLevel="1" x14ac:dyDescent="0.35">
      <c r="C23" s="608" t="s">
        <v>44</v>
      </c>
      <c r="D23" s="385" t="s">
        <v>45</v>
      </c>
      <c r="E23" s="571" t="s">
        <v>1351</v>
      </c>
      <c r="F23" s="88"/>
      <c r="G23" s="88"/>
      <c r="H23" s="88"/>
      <c r="I23" s="93"/>
      <c r="J23" s="605" t="s">
        <v>39</v>
      </c>
      <c r="K23" s="606" t="str">
        <f>IF($E23="kWh/år",F23,IF($E23="MWh/år",F23/1000,IF($E23="Nm3/år",F23*EF!$B$15,IF($E23="GWh/år",F23/10^6,IF($E23="GJ/år",F23*EF!$F$7,"")))))</f>
        <v/>
      </c>
      <c r="L23" s="606" t="str">
        <f>IF($E23="kWh/år",G23,IF($E23="MWh/år",G23/1000,IF($E23="Nm3/år",G23*EF!$B$15,IF($E23="GWh/år",G23/10^6,IF($E23="GJ/år",G23*EF!$F$7,"")))))</f>
        <v/>
      </c>
      <c r="M23" s="606" t="str">
        <f>IF($E23="kWh/år",H23,IF($E23="MWh/år",H23/1000,IF($E23="Nm3/år",H23*EF!$B$15,IF($E23="GWh/år",H23/10^6,IF($E23="GJ/år",H23*EF!$F$7,"")))))</f>
        <v/>
      </c>
      <c r="N23" s="607" t="str">
        <f>IF($E23="kWh/år",I23,IF($E23="MWh/år",I23/1000,IF($E23="Nm3/år",I23*EF!$B$15,IF($E23="GWh/år",I23/10^6,IF($E23="GJ/år",I23*EF!$F$7,"")))))</f>
        <v/>
      </c>
      <c r="O23" s="7"/>
    </row>
    <row r="24" spans="1:15" ht="45" hidden="1" customHeight="1" outlineLevel="1" x14ac:dyDescent="0.35">
      <c r="C24" s="608" t="s">
        <v>49</v>
      </c>
      <c r="D24" s="400" t="s">
        <v>50</v>
      </c>
      <c r="E24" s="571" t="s">
        <v>1351</v>
      </c>
      <c r="F24" s="88"/>
      <c r="G24" s="88"/>
      <c r="H24" s="88"/>
      <c r="I24" s="93"/>
      <c r="J24" s="605" t="s">
        <v>39</v>
      </c>
      <c r="K24" s="606" t="str">
        <f>IF($E24="kWh/år",F24,IF($E24="MWh/år",F24/1000,IF($E24="Nm3/år",F24*EF!$B$13,IF($E24="GWh/år",F24/10^6,IF($E24="GJ/år",F24*EF!$F$7,"")))))</f>
        <v/>
      </c>
      <c r="L24" s="606" t="str">
        <f>IF($E24="kWh/år",G24,IF($E24="MWh/år",G24/1000,IF($E24="Nm3/år",G24*EF!$B$13,IF($E24="GWh/år",G24/10^6,IF($E24="GJ/år",G24*EF!$F$7,"")))))</f>
        <v/>
      </c>
      <c r="M24" s="606" t="str">
        <f>IF($E24="kWh/år",H24,IF($E24="MWh/år",H24/1000,IF($E24="Nm3/år",H24*EF!$B$13,IF($E24="GWh/år",H24/10^6,IF($E24="GJ/år",H24*EF!$F$7,"")))))</f>
        <v/>
      </c>
      <c r="N24" s="607" t="str">
        <f>IF($E24="kWh/år",I24,IF($E24="MWh/år",I24/1000,IF($E24="Nm3/år",I24*EF!$B$13,IF($E24="GWh/år",I24/10^6,IF($E24="GJ/år",I24*EF!$F$7,"")))))</f>
        <v/>
      </c>
      <c r="O24" s="7"/>
    </row>
    <row r="25" spans="1:15" ht="45" hidden="1" customHeight="1" outlineLevel="1" x14ac:dyDescent="0.35">
      <c r="C25" s="608" t="s">
        <v>1165</v>
      </c>
      <c r="D25" s="400" t="s">
        <v>1167</v>
      </c>
      <c r="E25" s="571" t="s">
        <v>1351</v>
      </c>
      <c r="F25" s="88"/>
      <c r="G25" s="88"/>
      <c r="H25" s="88"/>
      <c r="I25" s="93"/>
      <c r="J25" s="609" t="s">
        <v>39</v>
      </c>
      <c r="K25" s="606" t="str">
        <f>IF($E25="kWh/år",F25,IF($E25="MWh/år",F25/1000,IF($E25="Nm3/år",F25*EF!$B$12,IF($E25="GWh/år",F25/10^6,IF($E25="GJ/år",F25*EF!$F$7,"")))))</f>
        <v/>
      </c>
      <c r="L25" s="606" t="str">
        <f>IF($E25="kWh/år",G25,IF($E25="MWh/år",G25/1000,IF($E25="Nm3/år",G25*EF!$B$12,IF($E25="GWh/år",G25/10^6,IF($E25="GJ/år",G25*EF!$F$7,"")))))</f>
        <v/>
      </c>
      <c r="M25" s="606" t="str">
        <f>IF($E25="kWh/år",H25,IF($E25="MWh/år",H25/1000,IF($E25="Nm3/år",H25*EF!$B$12,IF($E25="GWh/år",H25/10^6,IF($E25="GJ/år",H25*EF!$F$7,"")))))</f>
        <v/>
      </c>
      <c r="N25" s="607" t="str">
        <f>IF($E25="kWh/år",I25,IF($E25="MWh/år",I25/1000,IF($E25="Nm3/år",I25*EF!$B$12,IF($E25="GWh/år",I25/10^6,IF($E25="GJ/år",I25*EF!$F$7,"")))))</f>
        <v/>
      </c>
      <c r="O25" s="7"/>
    </row>
    <row r="26" spans="1:15" s="610" customFormat="1" ht="45" hidden="1" customHeight="1" outlineLevel="1" x14ac:dyDescent="0.35">
      <c r="C26" s="608" t="s">
        <v>58</v>
      </c>
      <c r="D26" s="400" t="s">
        <v>59</v>
      </c>
      <c r="E26" s="571" t="s">
        <v>1351</v>
      </c>
      <c r="F26" s="88"/>
      <c r="G26" s="88"/>
      <c r="H26" s="88"/>
      <c r="I26" s="93"/>
      <c r="J26" s="605" t="s">
        <v>39</v>
      </c>
      <c r="K26" s="606" t="str">
        <f>IF($E26="kWh/år",F26,IF($E26="MWh/år",F26/1000,IF($E26="kg/år",F26/1000*EF!$B$18,IF(E26="ton/år",F26*EF!$B$18,IF($E26="GWh/år",F26/10^6,IF($E26="GJ/år",F26*EF!$F$7,""))))))</f>
        <v/>
      </c>
      <c r="L26" s="606" t="str">
        <f>IF($E26="kWh/år",G26,IF($E26="MWh/år",G26/1000,IF($E26="kg/år",G26/1000*EF!$B$18,IF(F26="ton/år",G26*EF!$B$18,IF($E26="GWh/år",G26/10^6,IF($E26="GJ/år",G26*EF!$F$7,""))))))</f>
        <v/>
      </c>
      <c r="M26" s="606" t="str">
        <f>IF($E26="kWh/år",H26,IF($E26="MWh/år",H26/1000,IF($E26="kg/år",H26/1000*EF!$B$18,IF(G26="ton/år",H26*EF!$B$18,IF($E26="GWh/år",H26/10^6,IF($E26="GJ/år",H26*EF!$F$7,""))))))</f>
        <v/>
      </c>
      <c r="N26" s="607" t="str">
        <f>IF($E26="kWh/år",I26,IF($E26="MWh/år",I26/1000,IF($E26="kg/år",I26/1000*EF!$B$18,IF(H26="ton/år",I26*EF!$B$18,IF($E26="GWh/år",I26/10^6,IF($E26="GJ/år",I26*EF!$F$7,""))))))</f>
        <v/>
      </c>
      <c r="O26" s="611"/>
    </row>
    <row r="27" spans="1:15" ht="45" hidden="1" customHeight="1" outlineLevel="1" x14ac:dyDescent="0.35">
      <c r="C27" s="608" t="s">
        <v>61</v>
      </c>
      <c r="D27" s="400" t="s">
        <v>62</v>
      </c>
      <c r="E27" s="571" t="s">
        <v>1351</v>
      </c>
      <c r="F27" s="88"/>
      <c r="G27" s="88"/>
      <c r="H27" s="88"/>
      <c r="I27" s="93"/>
      <c r="J27" s="605" t="s">
        <v>39</v>
      </c>
      <c r="K27" s="606" t="str">
        <f>IF($E27="kWh/år",F27,IF($E27="MWh/år",F27/1000,IF($E27="kg/år",F27/1000*EF!$B$17,IF(E27="ton/år",F27*EF!$B$17,IF($E27="GWh/år",F27/10^6,IF($E27="GJ/år",F27*EF!$F$7,""))))))</f>
        <v/>
      </c>
      <c r="L27" s="606" t="str">
        <f>IF($E27="kWh/år",G27,IF($E27="MWh/år",G27/1000,IF($E27="kg/år",G27/1000*EF!$B$17,IF(F27="ton/år",G27*EF!$B$17,IF($E27="GWh/år",G27/10^6,IF($E27="GJ/år",G27*EF!$F$7,""))))))</f>
        <v/>
      </c>
      <c r="M27" s="606" t="str">
        <f>IF($E27="kWh/år",H27,IF($E27="MWh/år",H27/1000,IF($E27="kg/år",H27/1000*EF!$B$17,IF(G27="ton/år",H27*EF!$B$17,IF($E27="GWh/år",H27/10^6,IF($E27="GJ/år",H27*EF!$F$7,""))))))</f>
        <v/>
      </c>
      <c r="N27" s="607" t="str">
        <f>IF($E27="kWh/år",I27,IF($E27="MWh/år",I27/1000,IF($E27="kg/år",I27/1000*EF!$B$17,IF(H27="ton/år",I27*EF!$B$17,IF($E27="GWh/år",I27/10^6,IF($E27="GJ/år",I27*EF!$F$7,""))))))</f>
        <v/>
      </c>
      <c r="O27" s="336"/>
    </row>
    <row r="28" spans="1:15" ht="45" hidden="1" customHeight="1" outlineLevel="1" x14ac:dyDescent="0.35">
      <c r="C28" s="612" t="s">
        <v>64</v>
      </c>
      <c r="D28" s="405" t="s">
        <v>65</v>
      </c>
      <c r="E28" s="572" t="s">
        <v>1351</v>
      </c>
      <c r="F28" s="89"/>
      <c r="G28" s="89"/>
      <c r="H28" s="89"/>
      <c r="I28" s="92"/>
      <c r="J28" s="614" t="s">
        <v>39</v>
      </c>
      <c r="K28" s="615" t="str">
        <f>IF($E28="kWh/år",F28,IF($E28="MWh/år",F28/1000,IF($E28="kg/år",F28/1000*EF!$B$14,IF(E28="ton/år",F28*EF!$B$14,IF($E28="GWh/år",F28/10^6,IF($E28="GJ/år",F28*EF!$F$7,""))))))</f>
        <v/>
      </c>
      <c r="L28" s="615" t="str">
        <f>IF($E28="kWh/år",G28,IF($E28="MWh/år",G28/1000,IF($E28="kg/år",G28/1000*EF!$B$14,IF(F28="ton/år",G28*EF!$B$14,IF($E28="GWh/år",G28/10^6,IF($E28="GJ/år",G28*EF!$F$7,""))))))</f>
        <v/>
      </c>
      <c r="M28" s="615" t="str">
        <f>IF($E28="kWh/år",H28,IF($E28="MWh/år",H28/1000,IF($E28="kg/år",H28/1000*EF!$B$14,IF(G28="ton/år",H28*EF!$B$14,IF($E28="GWh/år",H28/10^6,IF($E28="GJ/år",H28*EF!$F$7,""))))))</f>
        <v/>
      </c>
      <c r="N28" s="616" t="str">
        <f>IF($E28="kWh/år",I28,IF($E28="MWh/år",I28/1000,IF($E28="kg/år",I28/1000*EF!$B$14,IF(H28="ton/år",I28*EF!$B$14,IF($E28="GWh/år",I28/10^6,IF($E28="GJ/år",I28*EF!$F$7,""))))))</f>
        <v/>
      </c>
      <c r="O28" s="336"/>
    </row>
    <row r="29" spans="1:15" ht="45" customHeight="1" collapsed="1" x14ac:dyDescent="0.35">
      <c r="O29" s="336"/>
    </row>
    <row r="30" spans="1:15" ht="45" customHeight="1" x14ac:dyDescent="0.5">
      <c r="B30" s="381" t="s">
        <v>1320</v>
      </c>
      <c r="C30" s="382"/>
      <c r="D30" s="382"/>
      <c r="E30" s="382"/>
      <c r="F30" s="382"/>
      <c r="G30" s="382"/>
      <c r="H30" s="382"/>
      <c r="I30" s="382"/>
      <c r="J30" s="382"/>
      <c r="K30" s="382"/>
      <c r="L30" s="382"/>
      <c r="M30" s="382"/>
      <c r="N30" s="382"/>
      <c r="O30" s="382"/>
    </row>
    <row r="31" spans="1:15" ht="45" customHeight="1" x14ac:dyDescent="0.55000000000000004">
      <c r="A31"/>
      <c r="B31" s="592" t="s">
        <v>1324</v>
      </c>
      <c r="F31" s="3"/>
      <c r="N31" s="454"/>
    </row>
    <row r="32" spans="1:15" ht="45" hidden="1" customHeight="1" outlineLevel="1" thickBot="1" x14ac:dyDescent="0.5">
      <c r="A32"/>
      <c r="C32" s="416" t="s">
        <v>67</v>
      </c>
      <c r="D32" s="363"/>
      <c r="E32" s="364"/>
      <c r="F32" s="364"/>
      <c r="G32" s="364"/>
      <c r="H32" s="364"/>
      <c r="I32" s="364"/>
      <c r="J32" s="617" t="s">
        <v>1197</v>
      </c>
      <c r="K32" s="383"/>
      <c r="N32" s="454"/>
    </row>
    <row r="33" spans="1:15" ht="45" hidden="1" customHeight="1" outlineLevel="1" x14ac:dyDescent="0.35">
      <c r="A33"/>
      <c r="C33" s="951" t="s">
        <v>1327</v>
      </c>
      <c r="D33" s="952"/>
      <c r="E33" s="953"/>
      <c r="F33" s="367" t="s">
        <v>32</v>
      </c>
      <c r="G33" s="368"/>
      <c r="H33" s="369" t="s">
        <v>33</v>
      </c>
      <c r="I33" s="369"/>
      <c r="J33" s="423" t="s">
        <v>36</v>
      </c>
      <c r="K33" s="618"/>
      <c r="L33" s="389"/>
      <c r="M33" s="389"/>
      <c r="N33" s="454"/>
      <c r="O33" s="467"/>
    </row>
    <row r="34" spans="1:15" ht="45" hidden="1" customHeight="1" outlineLevel="1" x14ac:dyDescent="0.35">
      <c r="A34"/>
      <c r="C34" s="905" t="s">
        <v>1328</v>
      </c>
      <c r="D34" s="906"/>
      <c r="E34" s="907"/>
      <c r="F34" s="424">
        <v>2023</v>
      </c>
      <c r="G34" s="372">
        <v>2025</v>
      </c>
      <c r="H34" s="372">
        <f>G34+5</f>
        <v>2030</v>
      </c>
      <c r="I34" s="424">
        <f>H34+5</f>
        <v>2035</v>
      </c>
      <c r="J34" s="377"/>
      <c r="K34" s="619"/>
      <c r="L34" s="618"/>
      <c r="M34" s="618"/>
      <c r="N34" s="454"/>
      <c r="O34" s="467"/>
    </row>
    <row r="35" spans="1:15" ht="45" hidden="1" customHeight="1" outlineLevel="1" x14ac:dyDescent="0.35">
      <c r="A35"/>
      <c r="C35" s="620" t="s">
        <v>1212</v>
      </c>
      <c r="D35" s="621" t="s">
        <v>1331</v>
      </c>
      <c r="E35" s="622" t="s">
        <v>71</v>
      </c>
      <c r="F35" s="171" t="str">
        <f>IFERROR((F39*F40+F41*F42+F44*F45+F47*F48+F50*F51+F53*F54+F56*F57+F59*F60+F62*F63+F65*F66+F68*F69)/SUM(F39,F41,F44,F47,F50,F53,F56,F59,F62,F65,F68),"")</f>
        <v/>
      </c>
      <c r="G35" s="171" t="str">
        <f>IFERROR((G39*G40+G41*G42+G44*G45+G47*G48+G50*G51+G53*G54+G56*G57+G59*G60+G62*G63+G65*G66+G68*G69)/SUM(G39,G41,G44,G47,G50,G53,G56,G59,G62,G65,G68),"")</f>
        <v/>
      </c>
      <c r="H35" s="171" t="str">
        <f t="shared" ref="H35:I35" si="3">IFERROR((H39*H40+H41*H42+H44*H45+H47*H48+H50*H51+H53*H54+H56*H57+H59*H60+H62*H63+H65*H66+H68*H69)/H36,"")</f>
        <v/>
      </c>
      <c r="I35" s="180" t="str">
        <f t="shared" si="3"/>
        <v/>
      </c>
      <c r="J35" s="115"/>
      <c r="K35" s="481"/>
      <c r="L35" s="619"/>
      <c r="M35" s="619"/>
      <c r="N35" s="454"/>
      <c r="O35" s="467"/>
    </row>
    <row r="36" spans="1:15" ht="45" hidden="1" customHeight="1" outlineLevel="1" x14ac:dyDescent="0.35">
      <c r="A36"/>
      <c r="C36" s="620" t="s">
        <v>1213</v>
      </c>
      <c r="D36" s="552" t="s">
        <v>1332</v>
      </c>
      <c r="E36" s="622" t="s">
        <v>73</v>
      </c>
      <c r="F36" s="128" t="str">
        <f>IFERROR((F41*F43+F44*F46+F47*F49+F50*F52+F53*F55+F56*F58+F59*F61+F62*F64+F65*F67+F68*F70)/SUM(F41,F44,F47,F50,F53,F56,F59,F62,F65,F68),"")</f>
        <v/>
      </c>
      <c r="G36" s="128" t="str">
        <f t="shared" ref="G36:H36" si="4">IFERROR((G41*G43+G44*G46+G47*G49+G50*G52+G53*G55+G56*G58+G59*G61+G62*G64+G65*G67+G68*G70)/SUM(G41,G44,G47,G50,G53,G56,G59,G62,G65,G68),"")</f>
        <v/>
      </c>
      <c r="H36" s="128" t="str">
        <f t="shared" si="4"/>
        <v/>
      </c>
      <c r="I36" s="129" t="str">
        <f>IFERROR((I41*I43+I44*I46+I47*I49+I50*I52+I53*I55+I56*I58+I59*I61+I62*I64+I65*I67+I68*I70)/SUM(I41,I44,I47,I50,I53,I56,I59,I62,I65,I68),"")</f>
        <v/>
      </c>
      <c r="J36" s="115"/>
      <c r="K36" s="481"/>
      <c r="L36" s="481"/>
      <c r="M36" s="481"/>
      <c r="N36" s="454"/>
      <c r="O36" s="467"/>
    </row>
    <row r="37" spans="1:15" ht="45" hidden="1" customHeight="1" outlineLevel="1" x14ac:dyDescent="0.35">
      <c r="A37"/>
      <c r="C37" s="620" t="s">
        <v>68</v>
      </c>
      <c r="D37" s="621" t="s">
        <v>1333</v>
      </c>
      <c r="E37" s="622" t="s">
        <v>70</v>
      </c>
      <c r="F37" s="85">
        <f>IF(ISNUMBER(INDEX('Data DV'!$M$6:$M$240,MATCH(Drikkevand!$C$2,'Data DV'!$A$6:$A$240,0))),INDEX('Data DV'!$M$6:$M$240,MATCH(Drikkevand!$C$2,'Data DV'!$A$6:$A$240,0)),0)</f>
        <v>0</v>
      </c>
      <c r="G37" s="90"/>
      <c r="H37" s="90"/>
      <c r="I37" s="91"/>
      <c r="J37" s="573"/>
      <c r="K37" s="481"/>
      <c r="L37" s="481"/>
      <c r="M37" s="481"/>
      <c r="N37" s="454"/>
      <c r="O37" s="467"/>
    </row>
    <row r="38" spans="1:15" ht="73.900000000000006" hidden="1" customHeight="1" outlineLevel="1" x14ac:dyDescent="0.35">
      <c r="A38"/>
      <c r="C38" s="623"/>
      <c r="D38" s="624"/>
      <c r="E38" s="625"/>
      <c r="F38" s="172" t="str">
        <f>IF(F37=SUM(F39,F41,F44,F47,F50,F53,F56,F59,F62,F65,F68),"","OBS! Vandmængde nedenfor forskellig fra sum ovenfor")</f>
        <v/>
      </c>
      <c r="G38" s="172" t="str">
        <f t="shared" ref="G38:I38" si="5">IF(G37=SUM(G39,G41,G44,G47,G50,G53,G56,G59,G62,G65,G68),"","OBS! Vandmængde nedenfor forskellig fra sum ovenfor")</f>
        <v/>
      </c>
      <c r="H38" s="172" t="str">
        <f t="shared" si="5"/>
        <v/>
      </c>
      <c r="I38" s="172" t="str">
        <f t="shared" si="5"/>
        <v/>
      </c>
      <c r="J38" s="574"/>
      <c r="K38" s="481"/>
      <c r="L38" s="481"/>
      <c r="M38" s="481"/>
      <c r="N38" s="454"/>
      <c r="O38" s="467"/>
    </row>
    <row r="39" spans="1:15" ht="45" hidden="1" customHeight="1" outlineLevel="1" x14ac:dyDescent="0.35">
      <c r="A39"/>
      <c r="C39" s="626" t="s">
        <v>1214</v>
      </c>
      <c r="D39" s="531" t="s">
        <v>1215</v>
      </c>
      <c r="E39" s="627" t="s">
        <v>70</v>
      </c>
      <c r="F39" s="173"/>
      <c r="G39" s="173"/>
      <c r="H39" s="173"/>
      <c r="I39" s="173"/>
      <c r="J39" s="575"/>
      <c r="K39" s="453"/>
      <c r="L39" s="481"/>
      <c r="M39" s="481"/>
      <c r="N39" s="454"/>
      <c r="O39" s="467"/>
    </row>
    <row r="40" spans="1:15" ht="45" hidden="1" customHeight="1" outlineLevel="1" thickBot="1" x14ac:dyDescent="0.4">
      <c r="A40" s="610"/>
      <c r="B40" s="610"/>
      <c r="C40" s="628" t="s">
        <v>1334</v>
      </c>
      <c r="D40" s="629" t="s">
        <v>1216</v>
      </c>
      <c r="E40" s="630" t="s">
        <v>71</v>
      </c>
      <c r="F40" s="631">
        <v>0</v>
      </c>
      <c r="G40" s="631">
        <v>0</v>
      </c>
      <c r="H40" s="631">
        <v>0</v>
      </c>
      <c r="I40" s="631">
        <v>0</v>
      </c>
      <c r="J40" s="576"/>
      <c r="K40" s="632"/>
      <c r="L40" s="453"/>
      <c r="M40" s="453"/>
      <c r="N40" s="454"/>
      <c r="O40" s="467"/>
    </row>
    <row r="41" spans="1:15" ht="45" hidden="1" customHeight="1" outlineLevel="1" x14ac:dyDescent="0.35">
      <c r="A41"/>
      <c r="C41" s="633" t="s">
        <v>1217</v>
      </c>
      <c r="D41" s="634" t="s">
        <v>1218</v>
      </c>
      <c r="E41" s="635" t="s">
        <v>70</v>
      </c>
      <c r="F41" s="174"/>
      <c r="G41" s="174"/>
      <c r="H41" s="174"/>
      <c r="I41" s="636"/>
      <c r="J41" s="577"/>
      <c r="K41" s="453"/>
      <c r="L41" s="632"/>
      <c r="M41" s="632"/>
      <c r="N41" s="454"/>
      <c r="O41" s="467"/>
    </row>
    <row r="42" spans="1:15" ht="45" hidden="1" customHeight="1" outlineLevel="1" x14ac:dyDescent="0.35">
      <c r="A42"/>
      <c r="C42" s="637" t="s">
        <v>1219</v>
      </c>
      <c r="D42" s="638" t="s">
        <v>1220</v>
      </c>
      <c r="E42" s="639" t="s">
        <v>71</v>
      </c>
      <c r="F42" s="101"/>
      <c r="G42" s="101"/>
      <c r="H42" s="101"/>
      <c r="I42" s="349"/>
      <c r="J42" s="578"/>
      <c r="L42" s="453"/>
      <c r="M42" s="453"/>
      <c r="N42" s="454"/>
      <c r="O42" s="467"/>
    </row>
    <row r="43" spans="1:15" ht="45" hidden="1" customHeight="1" outlineLevel="1" thickBot="1" x14ac:dyDescent="0.4">
      <c r="A43"/>
      <c r="C43" s="640" t="s">
        <v>1221</v>
      </c>
      <c r="D43" s="641" t="s">
        <v>1222</v>
      </c>
      <c r="E43" s="642" t="s">
        <v>73</v>
      </c>
      <c r="F43" s="175"/>
      <c r="G43" s="175"/>
      <c r="H43" s="175"/>
      <c r="I43" s="643"/>
      <c r="J43" s="579"/>
      <c r="N43" s="454"/>
      <c r="O43" s="467"/>
    </row>
    <row r="44" spans="1:15" ht="45" hidden="1" customHeight="1" outlineLevel="1" x14ac:dyDescent="0.35">
      <c r="A44"/>
      <c r="C44" s="633" t="s">
        <v>1223</v>
      </c>
      <c r="D44" s="634" t="s">
        <v>1224</v>
      </c>
      <c r="E44" s="635" t="s">
        <v>70</v>
      </c>
      <c r="F44" s="176"/>
      <c r="G44" s="176"/>
      <c r="H44" s="176"/>
      <c r="I44" s="644"/>
      <c r="J44" s="577"/>
      <c r="K44" s="453"/>
      <c r="N44" s="454"/>
      <c r="O44" s="467"/>
    </row>
    <row r="45" spans="1:15" ht="45" hidden="1" customHeight="1" outlineLevel="1" x14ac:dyDescent="0.35">
      <c r="A45"/>
      <c r="C45" s="637" t="s">
        <v>1225</v>
      </c>
      <c r="D45" s="638" t="s">
        <v>1220</v>
      </c>
      <c r="E45" s="639" t="s">
        <v>71</v>
      </c>
      <c r="F45" s="101"/>
      <c r="G45" s="101"/>
      <c r="H45" s="101"/>
      <c r="I45" s="349"/>
      <c r="J45" s="578"/>
      <c r="L45" s="453"/>
      <c r="M45" s="453"/>
      <c r="N45" s="454"/>
      <c r="O45" s="467"/>
    </row>
    <row r="46" spans="1:15" ht="45" hidden="1" customHeight="1" outlineLevel="1" thickBot="1" x14ac:dyDescent="0.4">
      <c r="A46"/>
      <c r="C46" s="640" t="s">
        <v>1221</v>
      </c>
      <c r="D46" s="641" t="s">
        <v>1222</v>
      </c>
      <c r="E46" s="642" t="s">
        <v>73</v>
      </c>
      <c r="F46" s="175"/>
      <c r="G46" s="175"/>
      <c r="H46" s="175"/>
      <c r="I46" s="643"/>
      <c r="J46" s="579"/>
      <c r="N46" s="454"/>
      <c r="O46" s="467"/>
    </row>
    <row r="47" spans="1:15" ht="45" hidden="1" customHeight="1" outlineLevel="1" x14ac:dyDescent="0.35">
      <c r="A47"/>
      <c r="C47" s="633" t="s">
        <v>1226</v>
      </c>
      <c r="D47" s="634" t="s">
        <v>1227</v>
      </c>
      <c r="E47" s="635" t="s">
        <v>70</v>
      </c>
      <c r="F47" s="177"/>
      <c r="G47" s="177"/>
      <c r="H47" s="177"/>
      <c r="I47" s="645"/>
      <c r="J47" s="580"/>
      <c r="K47" s="646"/>
      <c r="N47" s="454"/>
      <c r="O47" s="467"/>
    </row>
    <row r="48" spans="1:15" ht="45" hidden="1" customHeight="1" outlineLevel="1" x14ac:dyDescent="0.35">
      <c r="A48"/>
      <c r="C48" s="637" t="s">
        <v>1228</v>
      </c>
      <c r="D48" s="638" t="s">
        <v>1220</v>
      </c>
      <c r="E48" s="639" t="s">
        <v>71</v>
      </c>
      <c r="F48" s="88"/>
      <c r="G48" s="88"/>
      <c r="H48" s="88"/>
      <c r="I48" s="604"/>
      <c r="J48" s="581"/>
      <c r="K48" s="646"/>
      <c r="L48" s="646"/>
      <c r="M48" s="646"/>
      <c r="N48" s="454"/>
      <c r="O48" s="467"/>
    </row>
    <row r="49" spans="1:15" ht="45" hidden="1" customHeight="1" outlineLevel="1" thickBot="1" x14ac:dyDescent="0.4">
      <c r="A49"/>
      <c r="C49" s="640" t="s">
        <v>1221</v>
      </c>
      <c r="D49" s="641" t="s">
        <v>1222</v>
      </c>
      <c r="E49" s="642" t="s">
        <v>73</v>
      </c>
      <c r="F49" s="89"/>
      <c r="G49" s="89"/>
      <c r="H49" s="89"/>
      <c r="I49" s="613"/>
      <c r="J49" s="582"/>
      <c r="K49" s="646"/>
      <c r="L49" s="646"/>
      <c r="M49" s="646"/>
      <c r="N49" s="454"/>
      <c r="O49" s="467"/>
    </row>
    <row r="50" spans="1:15" ht="45" hidden="1" customHeight="1" outlineLevel="1" x14ac:dyDescent="0.35">
      <c r="A50"/>
      <c r="C50" s="633" t="s">
        <v>1229</v>
      </c>
      <c r="D50" s="634" t="s">
        <v>1230</v>
      </c>
      <c r="E50" s="635" t="s">
        <v>70</v>
      </c>
      <c r="F50" s="177"/>
      <c r="G50" s="177"/>
      <c r="H50" s="177"/>
      <c r="I50" s="645"/>
      <c r="J50" s="580"/>
      <c r="K50" s="646"/>
      <c r="L50" s="646"/>
      <c r="M50" s="646"/>
      <c r="N50" s="454"/>
      <c r="O50" s="467"/>
    </row>
    <row r="51" spans="1:15" ht="45" hidden="1" customHeight="1" outlineLevel="1" x14ac:dyDescent="0.35">
      <c r="A51"/>
      <c r="C51" s="637" t="s">
        <v>1231</v>
      </c>
      <c r="D51" s="638" t="s">
        <v>1220</v>
      </c>
      <c r="E51" s="639" t="s">
        <v>71</v>
      </c>
      <c r="F51" s="88"/>
      <c r="G51" s="88"/>
      <c r="H51" s="88"/>
      <c r="I51" s="604"/>
      <c r="J51" s="581"/>
      <c r="K51" s="646"/>
      <c r="L51" s="646"/>
      <c r="M51" s="646"/>
      <c r="N51" s="454"/>
      <c r="O51" s="467"/>
    </row>
    <row r="52" spans="1:15" ht="45" hidden="1" customHeight="1" outlineLevel="1" thickBot="1" x14ac:dyDescent="0.4">
      <c r="A52"/>
      <c r="C52" s="640" t="s">
        <v>1221</v>
      </c>
      <c r="D52" s="641" t="s">
        <v>1222</v>
      </c>
      <c r="E52" s="642" t="s">
        <v>73</v>
      </c>
      <c r="F52" s="89"/>
      <c r="G52" s="89"/>
      <c r="H52" s="89"/>
      <c r="I52" s="613"/>
      <c r="J52" s="582"/>
      <c r="K52" s="646"/>
      <c r="L52" s="646"/>
      <c r="M52" s="646"/>
      <c r="N52" s="454"/>
      <c r="O52" s="467"/>
    </row>
    <row r="53" spans="1:15" ht="45" hidden="1" customHeight="1" outlineLevel="1" x14ac:dyDescent="0.35">
      <c r="A53"/>
      <c r="C53" s="633" t="s">
        <v>1232</v>
      </c>
      <c r="D53" s="634" t="s">
        <v>1233</v>
      </c>
      <c r="E53" s="635" t="s">
        <v>70</v>
      </c>
      <c r="F53" s="177"/>
      <c r="G53" s="177"/>
      <c r="H53" s="177"/>
      <c r="I53" s="645"/>
      <c r="J53" s="580"/>
      <c r="K53" s="646"/>
      <c r="L53" s="646"/>
      <c r="M53" s="646"/>
      <c r="N53" s="454"/>
      <c r="O53" s="467"/>
    </row>
    <row r="54" spans="1:15" ht="45" hidden="1" customHeight="1" outlineLevel="1" x14ac:dyDescent="0.35">
      <c r="A54"/>
      <c r="C54" s="637" t="s">
        <v>1234</v>
      </c>
      <c r="D54" s="638" t="s">
        <v>1220</v>
      </c>
      <c r="E54" s="639" t="s">
        <v>71</v>
      </c>
      <c r="F54" s="88"/>
      <c r="G54" s="88"/>
      <c r="H54" s="88"/>
      <c r="I54" s="604"/>
      <c r="J54" s="581"/>
      <c r="K54" s="646"/>
      <c r="L54" s="646"/>
      <c r="M54" s="646"/>
      <c r="N54" s="454"/>
      <c r="O54" s="467"/>
    </row>
    <row r="55" spans="1:15" ht="45" hidden="1" customHeight="1" outlineLevel="1" thickBot="1" x14ac:dyDescent="0.4">
      <c r="A55"/>
      <c r="C55" s="640" t="s">
        <v>1221</v>
      </c>
      <c r="D55" s="641" t="s">
        <v>1222</v>
      </c>
      <c r="E55" s="642" t="s">
        <v>73</v>
      </c>
      <c r="F55" s="89"/>
      <c r="G55" s="89"/>
      <c r="H55" s="89"/>
      <c r="I55" s="613"/>
      <c r="J55" s="582"/>
      <c r="K55" s="646"/>
      <c r="L55" s="646"/>
      <c r="M55" s="646"/>
      <c r="N55" s="454"/>
      <c r="O55" s="467"/>
    </row>
    <row r="56" spans="1:15" ht="45" hidden="1" customHeight="1" outlineLevel="1" x14ac:dyDescent="0.35">
      <c r="A56"/>
      <c r="C56" s="633" t="s">
        <v>1235</v>
      </c>
      <c r="D56" s="634" t="s">
        <v>1236</v>
      </c>
      <c r="E56" s="635" t="s">
        <v>70</v>
      </c>
      <c r="F56" s="176"/>
      <c r="G56" s="176"/>
      <c r="H56" s="176"/>
      <c r="I56" s="644"/>
      <c r="J56" s="580"/>
      <c r="K56" s="646"/>
      <c r="L56" s="646"/>
      <c r="M56" s="646"/>
      <c r="N56" s="454"/>
      <c r="O56" s="467"/>
    </row>
    <row r="57" spans="1:15" ht="45" hidden="1" customHeight="1" outlineLevel="1" x14ac:dyDescent="0.5">
      <c r="A57"/>
      <c r="C57" s="637" t="s">
        <v>1237</v>
      </c>
      <c r="D57" s="638" t="s">
        <v>1220</v>
      </c>
      <c r="E57" s="639" t="s">
        <v>71</v>
      </c>
      <c r="F57" s="88"/>
      <c r="G57" s="88"/>
      <c r="H57" s="88"/>
      <c r="I57" s="604"/>
      <c r="J57" s="581"/>
      <c r="K57" s="646"/>
      <c r="L57" s="646"/>
      <c r="M57" s="646"/>
      <c r="N57" s="591"/>
      <c r="O57" s="467"/>
    </row>
    <row r="58" spans="1:15" ht="45" hidden="1" customHeight="1" outlineLevel="1" thickBot="1" x14ac:dyDescent="0.4">
      <c r="A58"/>
      <c r="C58" s="640" t="s">
        <v>1221</v>
      </c>
      <c r="D58" s="641" t="s">
        <v>1222</v>
      </c>
      <c r="E58" s="642" t="s">
        <v>73</v>
      </c>
      <c r="F58" s="89"/>
      <c r="G58" s="89"/>
      <c r="H58" s="89"/>
      <c r="I58" s="613"/>
      <c r="J58" s="582"/>
      <c r="K58" s="646"/>
      <c r="L58" s="646"/>
      <c r="M58" s="646"/>
      <c r="N58" s="298"/>
      <c r="O58" s="467"/>
    </row>
    <row r="59" spans="1:15" ht="45" hidden="1" customHeight="1" outlineLevel="1" x14ac:dyDescent="0.5">
      <c r="A59"/>
      <c r="C59" s="633" t="s">
        <v>1238</v>
      </c>
      <c r="D59" s="634" t="s">
        <v>1239</v>
      </c>
      <c r="E59" s="635" t="s">
        <v>70</v>
      </c>
      <c r="F59" s="177"/>
      <c r="G59" s="177"/>
      <c r="H59" s="177"/>
      <c r="I59" s="645"/>
      <c r="J59" s="580"/>
      <c r="K59" s="646"/>
      <c r="L59" s="646"/>
      <c r="M59" s="646"/>
      <c r="N59" s="298"/>
      <c r="O59" s="591"/>
    </row>
    <row r="60" spans="1:15" ht="45" hidden="1" customHeight="1" outlineLevel="1" x14ac:dyDescent="0.35">
      <c r="A60"/>
      <c r="C60" s="637" t="s">
        <v>1240</v>
      </c>
      <c r="D60" s="638" t="s">
        <v>1220</v>
      </c>
      <c r="E60" s="639" t="s">
        <v>71</v>
      </c>
      <c r="F60" s="88"/>
      <c r="G60" s="88"/>
      <c r="H60" s="88"/>
      <c r="I60" s="604"/>
      <c r="J60" s="581"/>
      <c r="K60" s="646"/>
      <c r="L60" s="646"/>
      <c r="M60" s="646"/>
      <c r="N60" s="647"/>
      <c r="O60" s="298"/>
    </row>
    <row r="61" spans="1:15" ht="45" hidden="1" customHeight="1" outlineLevel="1" thickBot="1" x14ac:dyDescent="0.4">
      <c r="A61"/>
      <c r="C61" s="640" t="s">
        <v>1221</v>
      </c>
      <c r="D61" s="641" t="s">
        <v>1222</v>
      </c>
      <c r="E61" s="642" t="s">
        <v>73</v>
      </c>
      <c r="F61" s="89"/>
      <c r="G61" s="89"/>
      <c r="H61" s="89"/>
      <c r="I61" s="613"/>
      <c r="J61" s="582"/>
      <c r="K61" s="646"/>
      <c r="L61" s="646"/>
      <c r="M61" s="646"/>
      <c r="N61" s="647"/>
    </row>
    <row r="62" spans="1:15" ht="45" hidden="1" customHeight="1" outlineLevel="1" x14ac:dyDescent="0.35">
      <c r="A62"/>
      <c r="C62" s="633" t="s">
        <v>1241</v>
      </c>
      <c r="D62" s="634" t="s">
        <v>1242</v>
      </c>
      <c r="E62" s="635" t="s">
        <v>70</v>
      </c>
      <c r="F62" s="177"/>
      <c r="G62" s="177"/>
      <c r="H62" s="177"/>
      <c r="I62" s="645"/>
      <c r="J62" s="580"/>
      <c r="K62" s="646"/>
      <c r="L62" s="646"/>
      <c r="M62" s="646"/>
      <c r="N62" s="545"/>
    </row>
    <row r="63" spans="1:15" ht="45" hidden="1" customHeight="1" outlineLevel="1" x14ac:dyDescent="0.35">
      <c r="A63"/>
      <c r="C63" s="648" t="s">
        <v>1243</v>
      </c>
      <c r="D63" s="638" t="s">
        <v>1220</v>
      </c>
      <c r="E63" s="639" t="s">
        <v>71</v>
      </c>
      <c r="F63" s="88"/>
      <c r="G63" s="88"/>
      <c r="H63" s="88"/>
      <c r="I63" s="604"/>
      <c r="J63" s="581"/>
      <c r="K63" s="646"/>
      <c r="L63" s="646"/>
      <c r="M63" s="646"/>
      <c r="N63" s="545"/>
    </row>
    <row r="64" spans="1:15" ht="45" hidden="1" customHeight="1" outlineLevel="1" thickBot="1" x14ac:dyDescent="0.4">
      <c r="A64"/>
      <c r="C64" s="649" t="s">
        <v>1221</v>
      </c>
      <c r="D64" s="641" t="s">
        <v>1222</v>
      </c>
      <c r="E64" s="642" t="s">
        <v>73</v>
      </c>
      <c r="F64" s="89"/>
      <c r="G64" s="89"/>
      <c r="H64" s="89"/>
      <c r="I64" s="613"/>
      <c r="J64" s="582"/>
      <c r="K64" s="646"/>
      <c r="L64" s="646"/>
      <c r="M64" s="646"/>
      <c r="N64" s="545"/>
    </row>
    <row r="65" spans="1:15" ht="45" hidden="1" customHeight="1" outlineLevel="1" x14ac:dyDescent="0.35">
      <c r="A65"/>
      <c r="C65" s="633" t="s">
        <v>1244</v>
      </c>
      <c r="D65" s="634" t="s">
        <v>1245</v>
      </c>
      <c r="E65" s="635" t="s">
        <v>70</v>
      </c>
      <c r="F65" s="177"/>
      <c r="G65" s="177"/>
      <c r="H65" s="177"/>
      <c r="I65" s="645"/>
      <c r="J65" s="580"/>
      <c r="K65" s="646"/>
      <c r="L65" s="646"/>
      <c r="M65" s="646"/>
      <c r="N65" s="545"/>
    </row>
    <row r="66" spans="1:15" ht="45" hidden="1" customHeight="1" outlineLevel="1" x14ac:dyDescent="0.35">
      <c r="A66"/>
      <c r="C66" s="637" t="s">
        <v>1246</v>
      </c>
      <c r="D66" s="638" t="s">
        <v>1220</v>
      </c>
      <c r="E66" s="639" t="s">
        <v>71</v>
      </c>
      <c r="F66" s="88"/>
      <c r="G66" s="88"/>
      <c r="H66" s="88"/>
      <c r="I66" s="604"/>
      <c r="J66" s="581"/>
      <c r="K66" s="646"/>
      <c r="L66" s="646"/>
      <c r="M66" s="646"/>
      <c r="N66" s="545"/>
    </row>
    <row r="67" spans="1:15" ht="45" hidden="1" customHeight="1" outlineLevel="1" thickBot="1" x14ac:dyDescent="0.4">
      <c r="A67"/>
      <c r="C67" s="640" t="s">
        <v>1221</v>
      </c>
      <c r="D67" s="641" t="s">
        <v>1222</v>
      </c>
      <c r="E67" s="642" t="s">
        <v>73</v>
      </c>
      <c r="F67" s="89"/>
      <c r="G67" s="89"/>
      <c r="H67" s="89"/>
      <c r="I67" s="613"/>
      <c r="J67" s="582"/>
      <c r="K67" s="646"/>
      <c r="L67" s="646"/>
      <c r="M67" s="646"/>
      <c r="N67" s="545"/>
    </row>
    <row r="68" spans="1:15" ht="45" hidden="1" customHeight="1" outlineLevel="1" x14ac:dyDescent="0.35">
      <c r="A68"/>
      <c r="C68" s="633" t="s">
        <v>1247</v>
      </c>
      <c r="D68" s="634" t="s">
        <v>1248</v>
      </c>
      <c r="E68" s="635" t="s">
        <v>70</v>
      </c>
      <c r="F68" s="177"/>
      <c r="G68" s="177"/>
      <c r="H68" s="177"/>
      <c r="I68" s="645"/>
      <c r="J68" s="580"/>
      <c r="K68" s="646"/>
      <c r="L68" s="646"/>
      <c r="M68" s="646"/>
      <c r="N68" s="650"/>
    </row>
    <row r="69" spans="1:15" ht="45" hidden="1" customHeight="1" outlineLevel="1" x14ac:dyDescent="0.35">
      <c r="A69"/>
      <c r="C69" s="637" t="s">
        <v>1249</v>
      </c>
      <c r="D69" s="638" t="s">
        <v>1220</v>
      </c>
      <c r="E69" s="639" t="s">
        <v>71</v>
      </c>
      <c r="F69" s="88"/>
      <c r="G69" s="88"/>
      <c r="H69" s="88"/>
      <c r="I69" s="604"/>
      <c r="J69" s="581"/>
      <c r="K69" s="646"/>
      <c r="L69" s="646"/>
      <c r="M69" s="646"/>
      <c r="N69" s="545"/>
    </row>
    <row r="70" spans="1:15" ht="45" hidden="1" customHeight="1" outlineLevel="1" thickBot="1" x14ac:dyDescent="0.4">
      <c r="A70"/>
      <c r="C70" s="640" t="s">
        <v>1221</v>
      </c>
      <c r="D70" s="641" t="s">
        <v>1222</v>
      </c>
      <c r="E70" s="642" t="s">
        <v>73</v>
      </c>
      <c r="F70" s="89"/>
      <c r="G70" s="89"/>
      <c r="H70" s="89"/>
      <c r="I70" s="613"/>
      <c r="J70" s="582"/>
      <c r="K70" s="646"/>
      <c r="L70" s="646"/>
      <c r="M70" s="646"/>
      <c r="N70" s="545"/>
    </row>
    <row r="71" spans="1:15" ht="45" hidden="1" customHeight="1" outlineLevel="1" x14ac:dyDescent="0.35">
      <c r="A71"/>
      <c r="C71" s="610"/>
      <c r="F71" s="125"/>
      <c r="G71" s="125"/>
      <c r="H71" s="125"/>
      <c r="I71" s="125"/>
      <c r="J71" s="646"/>
      <c r="K71" s="646"/>
      <c r="L71" s="646"/>
      <c r="M71" s="646"/>
      <c r="N71" s="298"/>
    </row>
    <row r="72" spans="1:15" ht="45" hidden="1" customHeight="1" outlineLevel="1" x14ac:dyDescent="0.35">
      <c r="A72"/>
      <c r="L72" s="646"/>
      <c r="M72" s="646"/>
      <c r="N72" s="298"/>
    </row>
    <row r="73" spans="1:15" ht="45" customHeight="1" collapsed="1" x14ac:dyDescent="0.35">
      <c r="J73" s="646"/>
      <c r="K73" s="646"/>
      <c r="L73" s="646"/>
      <c r="M73" s="646"/>
      <c r="N73" s="298"/>
    </row>
    <row r="74" spans="1:15" ht="45" customHeight="1" x14ac:dyDescent="0.5">
      <c r="B74" s="381" t="s">
        <v>1321</v>
      </c>
      <c r="C74" s="382"/>
      <c r="D74" s="382"/>
      <c r="E74" s="382"/>
      <c r="F74" s="382"/>
      <c r="G74" s="382"/>
      <c r="H74" s="382"/>
      <c r="I74" s="382"/>
      <c r="J74" s="382"/>
      <c r="K74" s="382"/>
      <c r="L74" s="382"/>
      <c r="M74" s="382"/>
      <c r="N74" s="382"/>
      <c r="O74" s="382"/>
    </row>
    <row r="75" spans="1:15" ht="45" customHeight="1" x14ac:dyDescent="0.55000000000000004">
      <c r="B75" s="592" t="s">
        <v>1325</v>
      </c>
      <c r="M75" s="298"/>
      <c r="N75" s="298"/>
    </row>
    <row r="76" spans="1:15" ht="45" hidden="1" customHeight="1" outlineLevel="1" thickBot="1" x14ac:dyDescent="0.55000000000000004">
      <c r="C76" s="362" t="s">
        <v>1250</v>
      </c>
      <c r="D76" s="363"/>
      <c r="E76" s="364"/>
      <c r="F76" s="364"/>
      <c r="G76" s="364"/>
      <c r="H76" s="364"/>
      <c r="I76" s="364"/>
      <c r="J76" s="366" t="s">
        <v>1198</v>
      </c>
      <c r="K76" s="436"/>
      <c r="L76" s="437"/>
      <c r="M76" s="437"/>
      <c r="N76" s="298"/>
    </row>
    <row r="77" spans="1:15" ht="45" hidden="1" customHeight="1" outlineLevel="1" x14ac:dyDescent="0.35">
      <c r="C77" s="951" t="s">
        <v>1335</v>
      </c>
      <c r="D77" s="952"/>
      <c r="E77" s="953"/>
      <c r="F77" s="420" t="s">
        <v>32</v>
      </c>
      <c r="G77" s="421"/>
      <c r="H77" s="422" t="s">
        <v>33</v>
      </c>
      <c r="I77" s="422"/>
      <c r="J77" s="423" t="s">
        <v>36</v>
      </c>
      <c r="K77" s="647"/>
      <c r="L77" s="647"/>
      <c r="M77" s="647"/>
      <c r="N77" s="597"/>
    </row>
    <row r="78" spans="1:15" ht="45" hidden="1" customHeight="1" outlineLevel="1" x14ac:dyDescent="0.5">
      <c r="B78" s="651"/>
      <c r="C78" s="905" t="s">
        <v>1336</v>
      </c>
      <c r="D78" s="906"/>
      <c r="E78" s="907"/>
      <c r="F78" s="424">
        <v>2023</v>
      </c>
      <c r="G78" s="372">
        <v>2025</v>
      </c>
      <c r="H78" s="372">
        <f t="shared" ref="H78:I78" si="6">G78+5</f>
        <v>2030</v>
      </c>
      <c r="I78" s="424">
        <f t="shared" si="6"/>
        <v>2035</v>
      </c>
      <c r="J78" s="430"/>
      <c r="K78" s="652"/>
      <c r="L78" s="652"/>
      <c r="M78" s="652"/>
      <c r="N78" s="865"/>
    </row>
    <row r="79" spans="1:15" ht="45" hidden="1" customHeight="1" outlineLevel="1" x14ac:dyDescent="0.35">
      <c r="C79" s="620" t="s">
        <v>1252</v>
      </c>
      <c r="D79" s="621" t="s">
        <v>1346</v>
      </c>
      <c r="E79" s="622" t="s">
        <v>73</v>
      </c>
      <c r="F79" s="185" t="str">
        <f>IFERROR((F82*F83+F84*F85+F86*F87+F88*F89+F90*F91+F92*F93)/SUM(F82,F84,F86,F88,F90,F92),"")</f>
        <v/>
      </c>
      <c r="G79" s="185" t="str">
        <f t="shared" ref="G79:I79" si="7">IFERROR((G82*G83+G84*G85+G86*G87+G88*G89+G90*G91+G92*G93)/SUM(G82,G84,G86,G88,G90,G92),"")</f>
        <v/>
      </c>
      <c r="H79" s="185" t="str">
        <f t="shared" si="7"/>
        <v/>
      </c>
      <c r="I79" s="191" t="str">
        <f t="shared" si="7"/>
        <v/>
      </c>
      <c r="J79" s="115"/>
      <c r="K79" s="653"/>
      <c r="L79" s="653"/>
      <c r="M79" s="653"/>
      <c r="N79" s="298"/>
      <c r="O79" s="298"/>
    </row>
    <row r="80" spans="1:15" ht="45" hidden="1" customHeight="1" outlineLevel="1" x14ac:dyDescent="0.5">
      <c r="C80" s="620" t="s">
        <v>161</v>
      </c>
      <c r="D80" s="654" t="s">
        <v>1261</v>
      </c>
      <c r="E80" s="622" t="s">
        <v>162</v>
      </c>
      <c r="F80" s="195">
        <f>IF(ISNUMBER(INDEX('Data SPV rens'!$W$5:$W$109,MATCH(Renseanlæg!$C$2,'Data SPV rens'!$A$5:$A$109,0))),INDEX('Data SPV rens'!$W$5:$W$109,MATCH(Renseanlæg!$C$2,'Data SPV rens'!$A$5:$A$109,0)),0)</f>
        <v>0</v>
      </c>
      <c r="G80" s="192"/>
      <c r="H80" s="192"/>
      <c r="I80" s="186"/>
      <c r="J80" s="583"/>
      <c r="K80" s="653"/>
      <c r="L80" s="653"/>
      <c r="M80" s="653"/>
      <c r="N80" s="647"/>
      <c r="O80" s="591"/>
    </row>
    <row r="81" spans="1:15" ht="90.4" hidden="1" customHeight="1" outlineLevel="1" x14ac:dyDescent="0.45">
      <c r="C81" s="623"/>
      <c r="D81" s="546"/>
      <c r="E81" s="625"/>
      <c r="F81" s="187" t="str">
        <f>IF(F80=SUM(F82,F84,F86,F88,F90,F92),"","OBS! Kvælstofbelastning nedenfor forskellig fra sum ovenfor")</f>
        <v/>
      </c>
      <c r="G81" s="187" t="str">
        <f t="shared" ref="G81:I81" si="8">IF(G80=SUM(G82,G84,G86,G88,G90,G92),"","OBS! Kvælstofbelastning nedenfor forskellig fra sum ovenfor")</f>
        <v/>
      </c>
      <c r="H81" s="187" t="str">
        <f t="shared" si="8"/>
        <v/>
      </c>
      <c r="I81" s="187" t="str">
        <f t="shared" si="8"/>
        <v/>
      </c>
      <c r="J81" s="655"/>
      <c r="K81" s="653"/>
      <c r="L81" s="653"/>
      <c r="M81" s="653"/>
      <c r="N81" s="545"/>
      <c r="O81" s="656"/>
    </row>
    <row r="82" spans="1:15" ht="45" hidden="1" customHeight="1" outlineLevel="1" x14ac:dyDescent="0.35">
      <c r="C82" s="657" t="s">
        <v>1268</v>
      </c>
      <c r="D82" s="658" t="s">
        <v>1259</v>
      </c>
      <c r="E82" s="622" t="s">
        <v>162</v>
      </c>
      <c r="F82" s="181"/>
      <c r="G82" s="182"/>
      <c r="H82" s="182"/>
      <c r="I82" s="182"/>
      <c r="J82" s="584"/>
      <c r="K82" s="653"/>
      <c r="L82" s="653"/>
      <c r="M82" s="653"/>
      <c r="N82" s="545"/>
      <c r="O82" s="659"/>
    </row>
    <row r="83" spans="1:15" ht="45" hidden="1" customHeight="1" outlineLevel="1" thickBot="1" x14ac:dyDescent="0.4">
      <c r="C83" s="661" t="s">
        <v>1253</v>
      </c>
      <c r="D83" s="662" t="s">
        <v>1260</v>
      </c>
      <c r="E83" s="663" t="s">
        <v>73</v>
      </c>
      <c r="F83" s="664">
        <v>0.84</v>
      </c>
      <c r="G83" s="664">
        <v>0.84</v>
      </c>
      <c r="H83" s="664">
        <v>0.56000000000000005</v>
      </c>
      <c r="I83" s="664">
        <v>0.56000000000000005</v>
      </c>
      <c r="J83" s="585"/>
      <c r="K83" s="665"/>
      <c r="L83" s="665"/>
      <c r="M83" s="665"/>
      <c r="N83" s="666"/>
      <c r="O83" s="659"/>
    </row>
    <row r="84" spans="1:15" ht="45" hidden="1" customHeight="1" outlineLevel="1" x14ac:dyDescent="0.35">
      <c r="C84" s="667" t="s">
        <v>1269</v>
      </c>
      <c r="D84" s="634" t="s">
        <v>1340</v>
      </c>
      <c r="E84" s="668" t="s">
        <v>162</v>
      </c>
      <c r="F84" s="183"/>
      <c r="G84" s="183"/>
      <c r="H84" s="183"/>
      <c r="I84" s="183"/>
      <c r="J84" s="586"/>
      <c r="K84" s="653"/>
      <c r="L84" s="653"/>
      <c r="M84" s="653"/>
      <c r="N84" s="669"/>
      <c r="O84" s="670"/>
    </row>
    <row r="85" spans="1:15" ht="45" hidden="1" customHeight="1" outlineLevel="1" thickBot="1" x14ac:dyDescent="0.4">
      <c r="C85" s="640" t="s">
        <v>1254</v>
      </c>
      <c r="D85" s="641" t="s">
        <v>1267</v>
      </c>
      <c r="E85" s="641" t="s">
        <v>73</v>
      </c>
      <c r="F85" s="184"/>
      <c r="G85" s="184"/>
      <c r="H85" s="184"/>
      <c r="I85" s="184"/>
      <c r="J85" s="354"/>
      <c r="K85" s="298"/>
      <c r="L85" s="298"/>
      <c r="M85" s="298"/>
      <c r="N85" s="298"/>
      <c r="O85" s="650"/>
    </row>
    <row r="86" spans="1:15" ht="45" hidden="1" customHeight="1" outlineLevel="1" x14ac:dyDescent="0.35">
      <c r="C86" s="667" t="s">
        <v>1270</v>
      </c>
      <c r="D86" s="634" t="s">
        <v>1341</v>
      </c>
      <c r="E86" s="668" t="s">
        <v>162</v>
      </c>
      <c r="F86" s="176"/>
      <c r="G86" s="176"/>
      <c r="H86" s="176"/>
      <c r="I86" s="176"/>
      <c r="J86" s="586"/>
      <c r="K86" s="653"/>
      <c r="L86" s="653"/>
      <c r="M86" s="653"/>
      <c r="N86" s="647"/>
      <c r="O86" s="650"/>
    </row>
    <row r="87" spans="1:15" ht="45" hidden="1" customHeight="1" outlineLevel="1" thickBot="1" x14ac:dyDescent="0.5">
      <c r="C87" s="640" t="s">
        <v>1255</v>
      </c>
      <c r="D87" s="641" t="s">
        <v>1267</v>
      </c>
      <c r="E87" s="641" t="s">
        <v>73</v>
      </c>
      <c r="F87" s="184"/>
      <c r="G87" s="184"/>
      <c r="H87" s="184"/>
      <c r="I87" s="184"/>
      <c r="J87" s="587"/>
      <c r="K87" s="653"/>
      <c r="L87" s="653"/>
      <c r="M87" s="653"/>
      <c r="N87" s="298"/>
      <c r="O87" s="671"/>
    </row>
    <row r="88" spans="1:15" ht="45" hidden="1" customHeight="1" outlineLevel="1" x14ac:dyDescent="0.35">
      <c r="B88" s="383"/>
      <c r="C88" s="667" t="s">
        <v>1271</v>
      </c>
      <c r="D88" s="634" t="s">
        <v>1342</v>
      </c>
      <c r="E88" s="668" t="s">
        <v>162</v>
      </c>
      <c r="F88" s="177"/>
      <c r="G88" s="177"/>
      <c r="H88" s="177"/>
      <c r="I88" s="177"/>
      <c r="J88" s="588"/>
      <c r="K88" s="298"/>
      <c r="L88" s="298"/>
      <c r="M88" s="298"/>
      <c r="N88" s="647"/>
      <c r="O88" s="650"/>
    </row>
    <row r="89" spans="1:15" ht="45" hidden="1" customHeight="1" outlineLevel="1" thickBot="1" x14ac:dyDescent="0.4">
      <c r="B89" s="383"/>
      <c r="C89" s="640" t="s">
        <v>1256</v>
      </c>
      <c r="D89" s="641" t="s">
        <v>1267</v>
      </c>
      <c r="E89" s="641" t="s">
        <v>73</v>
      </c>
      <c r="F89" s="89"/>
      <c r="G89" s="89"/>
      <c r="H89" s="89"/>
      <c r="I89" s="89"/>
      <c r="J89" s="589"/>
      <c r="K89" s="298"/>
      <c r="L89" s="298"/>
      <c r="M89" s="298"/>
      <c r="N89" s="545"/>
      <c r="O89" s="298"/>
    </row>
    <row r="90" spans="1:15" ht="45" hidden="1" customHeight="1" outlineLevel="1" x14ac:dyDescent="0.35">
      <c r="C90" s="667" t="s">
        <v>1272</v>
      </c>
      <c r="D90" s="634" t="s">
        <v>1343</v>
      </c>
      <c r="E90" s="668" t="s">
        <v>162</v>
      </c>
      <c r="F90" s="177"/>
      <c r="G90" s="177"/>
      <c r="H90" s="177"/>
      <c r="I90" s="177"/>
      <c r="J90" s="588"/>
      <c r="K90" s="298"/>
      <c r="L90" s="298"/>
      <c r="M90" s="298"/>
      <c r="N90" s="545"/>
      <c r="O90" s="650"/>
    </row>
    <row r="91" spans="1:15" ht="45" hidden="1" customHeight="1" outlineLevel="1" thickBot="1" x14ac:dyDescent="0.4">
      <c r="C91" s="640" t="s">
        <v>1257</v>
      </c>
      <c r="D91" s="641" t="s">
        <v>1267</v>
      </c>
      <c r="E91" s="641" t="s">
        <v>73</v>
      </c>
      <c r="F91" s="89"/>
      <c r="G91" s="89"/>
      <c r="H91" s="89"/>
      <c r="I91" s="89"/>
      <c r="J91" s="579"/>
      <c r="K91" s="298"/>
      <c r="L91" s="298"/>
      <c r="M91" s="298"/>
      <c r="N91" s="545"/>
      <c r="O91" s="650"/>
    </row>
    <row r="92" spans="1:15" ht="45" hidden="1" customHeight="1" outlineLevel="1" x14ac:dyDescent="0.35">
      <c r="C92" s="667" t="s">
        <v>1337</v>
      </c>
      <c r="D92" s="634" t="s">
        <v>1344</v>
      </c>
      <c r="E92" s="668" t="s">
        <v>162</v>
      </c>
      <c r="F92" s="177"/>
      <c r="G92" s="177"/>
      <c r="H92" s="177"/>
      <c r="I92" s="177"/>
      <c r="J92" s="588"/>
      <c r="K92" s="298"/>
      <c r="L92" s="298"/>
      <c r="M92" s="298"/>
      <c r="N92" s="545"/>
      <c r="O92" s="650"/>
    </row>
    <row r="93" spans="1:15" ht="45" hidden="1" customHeight="1" outlineLevel="1" thickBot="1" x14ac:dyDescent="0.4">
      <c r="C93" s="640" t="s">
        <v>1258</v>
      </c>
      <c r="D93" s="641" t="s">
        <v>1267</v>
      </c>
      <c r="E93" s="641" t="s">
        <v>73</v>
      </c>
      <c r="F93" s="89"/>
      <c r="G93" s="89"/>
      <c r="H93" s="89"/>
      <c r="I93" s="89"/>
      <c r="J93" s="579"/>
      <c r="K93" s="298"/>
      <c r="L93" s="298"/>
      <c r="M93" s="298"/>
      <c r="N93" s="545"/>
      <c r="O93" s="650"/>
    </row>
    <row r="94" spans="1:15" ht="45" hidden="1" customHeight="1" outlineLevel="1" x14ac:dyDescent="0.35">
      <c r="A94" s="672"/>
      <c r="B94" s="298"/>
      <c r="C94" s="673"/>
      <c r="D94" s="660"/>
      <c r="E94" s="298"/>
      <c r="F94" s="194"/>
      <c r="G94" s="194"/>
      <c r="H94" s="194"/>
      <c r="I94" s="194"/>
      <c r="J94" s="298"/>
      <c r="K94" s="298"/>
      <c r="L94" s="298"/>
      <c r="M94" s="298"/>
      <c r="N94" s="545"/>
      <c r="O94" s="650"/>
    </row>
    <row r="95" spans="1:15" ht="45" customHeight="1" collapsed="1" x14ac:dyDescent="0.5">
      <c r="A95" s="672"/>
      <c r="B95" s="674"/>
      <c r="C95" s="675"/>
      <c r="D95" s="298"/>
      <c r="E95" s="298"/>
      <c r="F95" s="188"/>
      <c r="G95" s="188"/>
      <c r="H95" s="188"/>
      <c r="I95" s="188"/>
      <c r="J95" s="591"/>
      <c r="K95" s="591"/>
      <c r="L95" s="591"/>
      <c r="M95" s="591"/>
      <c r="N95" s="545"/>
      <c r="O95" s="650"/>
    </row>
    <row r="96" spans="1:15" ht="45" customHeight="1" x14ac:dyDescent="0.5">
      <c r="B96" s="381" t="s">
        <v>1322</v>
      </c>
      <c r="C96" s="382"/>
      <c r="D96" s="382"/>
      <c r="E96" s="382"/>
      <c r="F96" s="382"/>
      <c r="G96" s="382"/>
      <c r="H96" s="382"/>
      <c r="I96" s="382"/>
      <c r="J96" s="382"/>
      <c r="K96" s="382"/>
      <c r="L96" s="382"/>
      <c r="M96" s="382"/>
      <c r="N96" s="382"/>
      <c r="O96" s="382"/>
    </row>
    <row r="97" spans="2:15" ht="45" customHeight="1" x14ac:dyDescent="0.55000000000000004">
      <c r="B97" s="592" t="s">
        <v>1326</v>
      </c>
      <c r="M97" s="647"/>
      <c r="N97" s="650"/>
      <c r="O97" s="650"/>
    </row>
    <row r="98" spans="2:15" ht="45" hidden="1" customHeight="1" outlineLevel="1" thickBot="1" x14ac:dyDescent="0.55000000000000004">
      <c r="C98" s="362" t="s">
        <v>1251</v>
      </c>
      <c r="D98" s="363"/>
      <c r="E98" s="364"/>
      <c r="F98" s="364"/>
      <c r="G98" s="364"/>
      <c r="H98" s="364"/>
      <c r="I98" s="364"/>
      <c r="J98" s="366" t="s">
        <v>1198</v>
      </c>
      <c r="K98" s="436"/>
      <c r="L98" s="437"/>
      <c r="M98" s="653"/>
      <c r="N98" s="545"/>
      <c r="O98" s="650"/>
    </row>
    <row r="99" spans="2:15" ht="45" hidden="1" customHeight="1" outlineLevel="1" x14ac:dyDescent="0.35">
      <c r="C99" s="951" t="s">
        <v>1338</v>
      </c>
      <c r="D99" s="952"/>
      <c r="E99" s="953"/>
      <c r="F99" s="367" t="s">
        <v>32</v>
      </c>
      <c r="G99" s="368"/>
      <c r="H99" s="369" t="s">
        <v>33</v>
      </c>
      <c r="I99" s="369"/>
      <c r="J99" s="423" t="s">
        <v>36</v>
      </c>
      <c r="K99" s="647"/>
      <c r="L99" s="647"/>
      <c r="M99" s="676"/>
      <c r="N99" s="545"/>
      <c r="O99" s="650"/>
    </row>
    <row r="100" spans="2:15" ht="45" hidden="1" customHeight="1" outlineLevel="1" x14ac:dyDescent="0.5">
      <c r="B100" s="651"/>
      <c r="C100" s="905" t="s">
        <v>1339</v>
      </c>
      <c r="D100" s="906"/>
      <c r="E100" s="907"/>
      <c r="F100" s="424">
        <v>2023</v>
      </c>
      <c r="G100" s="372">
        <v>2025</v>
      </c>
      <c r="H100" s="372">
        <f t="shared" ref="H100" si="9">G100+5</f>
        <v>2030</v>
      </c>
      <c r="I100" s="424">
        <f t="shared" ref="I100" si="10">H100+5</f>
        <v>2035</v>
      </c>
      <c r="J100" s="377"/>
      <c r="K100" s="652"/>
      <c r="L100" s="652"/>
      <c r="M100" s="676"/>
      <c r="N100" s="298"/>
      <c r="O100" s="650"/>
    </row>
    <row r="101" spans="2:15" ht="45" hidden="1" customHeight="1" outlineLevel="1" x14ac:dyDescent="0.35">
      <c r="C101" s="620" t="s">
        <v>1252</v>
      </c>
      <c r="D101" s="621" t="s">
        <v>1347</v>
      </c>
      <c r="E101" s="622" t="s">
        <v>73</v>
      </c>
      <c r="F101" s="185" t="str">
        <f>IFERROR((F104*F105+F106*F107+F108*F109+F110*F111+F112*F113+F114*F115)/SUM(F104,F106,F108,F110,F112,F114),"")</f>
        <v/>
      </c>
      <c r="G101" s="185" t="str">
        <f t="shared" ref="G101:I101" si="11">IFERROR((G104*G105+G106*G107+G108*G109+G110*G111+G112*G113+G114*G115)/SUM(G104,G106,G108,G110,G112,G114),"")</f>
        <v/>
      </c>
      <c r="H101" s="185" t="str">
        <f t="shared" si="11"/>
        <v/>
      </c>
      <c r="I101" s="191" t="str">
        <f t="shared" si="11"/>
        <v/>
      </c>
      <c r="J101" s="130"/>
      <c r="K101" s="653"/>
      <c r="L101" s="653"/>
      <c r="M101" s="677"/>
      <c r="N101" s="298"/>
      <c r="O101" s="650"/>
    </row>
    <row r="102" spans="2:15" ht="45" hidden="1" customHeight="1" outlineLevel="1" x14ac:dyDescent="0.35">
      <c r="C102" s="384" t="s">
        <v>168</v>
      </c>
      <c r="D102" s="401" t="s">
        <v>1273</v>
      </c>
      <c r="E102" s="605" t="s">
        <v>170</v>
      </c>
      <c r="F102" s="197">
        <f>IF(ISNUMBER(INDEX('Data SPV rens'!AB5:AB109,MATCH(C2,'Data SPV rens'!A5:A109,0))),INDEX('Data SPV rens'!AB5:AB109,MATCH(C2,'Data SPV rens'!A5:A109,0)),0)</f>
        <v>0</v>
      </c>
      <c r="G102" s="192"/>
      <c r="H102" s="192"/>
      <c r="I102" s="193"/>
      <c r="J102" s="590"/>
      <c r="K102" s="653"/>
      <c r="L102" s="653"/>
      <c r="M102" s="660"/>
      <c r="N102" s="298"/>
      <c r="O102" s="298"/>
    </row>
    <row r="103" spans="2:15" ht="79.5" hidden="1" customHeight="1" outlineLevel="1" x14ac:dyDescent="0.35">
      <c r="C103" s="678"/>
      <c r="D103" s="546"/>
      <c r="E103" s="453"/>
      <c r="F103" s="187" t="str">
        <f>IF(F102=SUM(F104,F106,F108,F110,F112,F114),"","OBS! Biogasproduktion nedenfor forskellig fra sum ovenfor")</f>
        <v/>
      </c>
      <c r="G103" s="187" t="str">
        <f t="shared" ref="G103:I103" si="12">IF(G102=SUM(G104,G106,G108,G110,G112,G114),"","OBS! Biogasproduktion nedenfor forskellig fra sum ovenfor")</f>
        <v/>
      </c>
      <c r="H103" s="187" t="str">
        <f t="shared" si="12"/>
        <v/>
      </c>
      <c r="I103" s="187" t="str">
        <f t="shared" si="12"/>
        <v/>
      </c>
      <c r="J103" s="655"/>
      <c r="K103" s="653"/>
      <c r="L103" s="653"/>
      <c r="M103" s="647"/>
      <c r="N103" s="298"/>
      <c r="O103" s="298"/>
    </row>
    <row r="104" spans="2:15" ht="45" hidden="1" customHeight="1" outlineLevel="1" x14ac:dyDescent="0.35">
      <c r="C104" s="657" t="s">
        <v>1274</v>
      </c>
      <c r="D104" s="658" t="s">
        <v>1259</v>
      </c>
      <c r="E104" s="679" t="s">
        <v>170</v>
      </c>
      <c r="F104" s="181"/>
      <c r="G104" s="182"/>
      <c r="H104" s="182"/>
      <c r="I104" s="182"/>
      <c r="J104" s="584"/>
      <c r="K104" s="653"/>
      <c r="L104" s="653"/>
      <c r="M104" s="298"/>
      <c r="N104" s="298"/>
      <c r="O104" s="660"/>
    </row>
    <row r="105" spans="2:15" ht="45" hidden="1" customHeight="1" outlineLevel="1" thickBot="1" x14ac:dyDescent="0.4">
      <c r="C105" s="661" t="s">
        <v>1253</v>
      </c>
      <c r="D105" s="662" t="s">
        <v>1280</v>
      </c>
      <c r="E105" s="663" t="s">
        <v>73</v>
      </c>
      <c r="F105" s="664">
        <v>6.9</v>
      </c>
      <c r="G105" s="664">
        <v>6.9</v>
      </c>
      <c r="H105" s="664">
        <v>1</v>
      </c>
      <c r="I105" s="664">
        <v>1</v>
      </c>
      <c r="J105" s="585"/>
      <c r="K105" s="665"/>
      <c r="L105" s="665"/>
      <c r="M105" s="669"/>
      <c r="N105" s="647"/>
      <c r="O105" s="660"/>
    </row>
    <row r="106" spans="2:15" ht="45" hidden="1" customHeight="1" outlineLevel="1" x14ac:dyDescent="0.45">
      <c r="C106" s="667" t="s">
        <v>1275</v>
      </c>
      <c r="D106" s="634" t="s">
        <v>1262</v>
      </c>
      <c r="E106" s="680" t="s">
        <v>170</v>
      </c>
      <c r="F106" s="183"/>
      <c r="G106" s="183"/>
      <c r="H106" s="183"/>
      <c r="I106" s="183"/>
      <c r="J106" s="586"/>
      <c r="K106" s="653"/>
      <c r="L106" s="653"/>
      <c r="M106" s="681"/>
      <c r="N106" s="647"/>
      <c r="O106" s="671"/>
    </row>
    <row r="107" spans="2:15" ht="45" hidden="1" customHeight="1" outlineLevel="1" thickBot="1" x14ac:dyDescent="0.4">
      <c r="C107" s="640" t="s">
        <v>1254</v>
      </c>
      <c r="D107" s="482" t="s">
        <v>1345</v>
      </c>
      <c r="E107" s="641" t="s">
        <v>73</v>
      </c>
      <c r="F107" s="184"/>
      <c r="G107" s="184"/>
      <c r="H107" s="184"/>
      <c r="I107" s="184"/>
      <c r="J107" s="354"/>
      <c r="K107" s="298"/>
      <c r="L107" s="298"/>
      <c r="M107" s="681"/>
      <c r="N107" s="545"/>
      <c r="O107" s="650"/>
    </row>
    <row r="108" spans="2:15" ht="45" hidden="1" customHeight="1" outlineLevel="1" x14ac:dyDescent="0.35">
      <c r="C108" s="667" t="s">
        <v>1276</v>
      </c>
      <c r="D108" s="634" t="s">
        <v>1263</v>
      </c>
      <c r="E108" s="680" t="s">
        <v>170</v>
      </c>
      <c r="F108" s="176"/>
      <c r="G108" s="176"/>
      <c r="H108" s="176"/>
      <c r="I108" s="176"/>
      <c r="J108" s="586"/>
      <c r="K108" s="653"/>
      <c r="L108" s="653"/>
      <c r="M108" s="681"/>
      <c r="N108" s="545"/>
      <c r="O108" s="650"/>
    </row>
    <row r="109" spans="2:15" ht="45" hidden="1" customHeight="1" outlineLevel="1" thickBot="1" x14ac:dyDescent="0.4">
      <c r="C109" s="640" t="s">
        <v>1255</v>
      </c>
      <c r="D109" s="482" t="s">
        <v>1345</v>
      </c>
      <c r="E109" s="641" t="s">
        <v>73</v>
      </c>
      <c r="F109" s="184"/>
      <c r="G109" s="184"/>
      <c r="H109" s="184"/>
      <c r="I109" s="184"/>
      <c r="J109" s="587"/>
      <c r="K109" s="653"/>
      <c r="L109" s="653"/>
      <c r="M109" s="681"/>
      <c r="N109" s="545"/>
      <c r="O109" s="650"/>
    </row>
    <row r="110" spans="2:15" ht="45" hidden="1" customHeight="1" outlineLevel="1" x14ac:dyDescent="0.35">
      <c r="B110" s="383"/>
      <c r="C110" s="667" t="s">
        <v>1277</v>
      </c>
      <c r="D110" s="634" t="s">
        <v>1264</v>
      </c>
      <c r="E110" s="680" t="s">
        <v>170</v>
      </c>
      <c r="F110" s="177"/>
      <c r="G110" s="177"/>
      <c r="H110" s="177"/>
      <c r="I110" s="177"/>
      <c r="J110" s="588"/>
      <c r="K110" s="298"/>
      <c r="L110" s="298"/>
      <c r="M110" s="681"/>
      <c r="N110" s="545"/>
      <c r="O110" s="660"/>
    </row>
    <row r="111" spans="2:15" ht="45" hidden="1" customHeight="1" outlineLevel="1" thickBot="1" x14ac:dyDescent="0.4">
      <c r="B111" s="383"/>
      <c r="C111" s="640" t="s">
        <v>1256</v>
      </c>
      <c r="D111" s="482" t="s">
        <v>1345</v>
      </c>
      <c r="E111" s="641" t="s">
        <v>73</v>
      </c>
      <c r="F111" s="89"/>
      <c r="G111" s="89"/>
      <c r="H111" s="89"/>
      <c r="I111" s="89"/>
      <c r="J111" s="589"/>
      <c r="K111" s="298"/>
      <c r="L111" s="298"/>
      <c r="M111" s="681"/>
      <c r="N111" s="545"/>
      <c r="O111" s="650"/>
    </row>
    <row r="112" spans="2:15" ht="45" hidden="1" customHeight="1" outlineLevel="1" x14ac:dyDescent="0.45">
      <c r="C112" s="667" t="s">
        <v>1278</v>
      </c>
      <c r="D112" s="634" t="s">
        <v>1265</v>
      </c>
      <c r="E112" s="680" t="s">
        <v>170</v>
      </c>
      <c r="F112" s="177"/>
      <c r="G112" s="177"/>
      <c r="H112" s="177"/>
      <c r="I112" s="177"/>
      <c r="J112" s="588"/>
      <c r="K112" s="298"/>
      <c r="L112" s="298"/>
      <c r="M112" s="681"/>
      <c r="N112" s="545"/>
      <c r="O112" s="671"/>
    </row>
    <row r="113" spans="1:15" ht="45" hidden="1" customHeight="1" outlineLevel="1" thickBot="1" x14ac:dyDescent="0.4">
      <c r="C113" s="640" t="s">
        <v>1257</v>
      </c>
      <c r="D113" s="482" t="s">
        <v>1345</v>
      </c>
      <c r="E113" s="641" t="s">
        <v>73</v>
      </c>
      <c r="F113" s="89"/>
      <c r="G113" s="89"/>
      <c r="H113" s="89"/>
      <c r="I113" s="89"/>
      <c r="J113" s="579"/>
      <c r="K113" s="298"/>
      <c r="L113" s="298"/>
      <c r="M113" s="681"/>
      <c r="N113" s="545"/>
      <c r="O113" s="650"/>
    </row>
    <row r="114" spans="1:15" ht="45" hidden="1" customHeight="1" outlineLevel="1" x14ac:dyDescent="0.35">
      <c r="C114" s="667" t="s">
        <v>1279</v>
      </c>
      <c r="D114" s="634" t="s">
        <v>1266</v>
      </c>
      <c r="E114" s="680" t="s">
        <v>170</v>
      </c>
      <c r="F114" s="177"/>
      <c r="G114" s="177"/>
      <c r="H114" s="177"/>
      <c r="I114" s="177"/>
      <c r="J114" s="588"/>
      <c r="K114" s="298"/>
      <c r="L114" s="298"/>
      <c r="M114" s="681"/>
      <c r="N114" s="545"/>
      <c r="O114" s="650"/>
    </row>
    <row r="115" spans="1:15" ht="45" hidden="1" customHeight="1" outlineLevel="1" thickBot="1" x14ac:dyDescent="0.4">
      <c r="C115" s="640" t="s">
        <v>1258</v>
      </c>
      <c r="D115" s="482" t="s">
        <v>1345</v>
      </c>
      <c r="E115" s="641" t="s">
        <v>73</v>
      </c>
      <c r="F115" s="89"/>
      <c r="G115" s="89"/>
      <c r="H115" s="89"/>
      <c r="I115" s="89"/>
      <c r="J115" s="579"/>
      <c r="K115" s="298"/>
      <c r="L115" s="298"/>
      <c r="M115" s="681"/>
      <c r="N115" s="545"/>
      <c r="O115" s="650"/>
    </row>
    <row r="116" spans="1:15" ht="45" hidden="1" customHeight="1" outlineLevel="1" x14ac:dyDescent="0.35">
      <c r="A116" s="672"/>
      <c r="B116" s="682"/>
      <c r="C116" s="683"/>
      <c r="D116" s="683"/>
      <c r="E116" s="650"/>
      <c r="F116" s="684"/>
      <c r="G116" s="190"/>
      <c r="H116" s="190"/>
      <c r="I116" s="190"/>
      <c r="J116" s="681"/>
      <c r="K116" s="681"/>
      <c r="L116" s="681"/>
      <c r="M116" s="681"/>
      <c r="N116" s="545"/>
      <c r="O116" s="660"/>
    </row>
    <row r="117" spans="1:15" ht="45" customHeight="1" collapsed="1" x14ac:dyDescent="0.35">
      <c r="B117" s="298"/>
      <c r="C117" s="683"/>
      <c r="D117" s="683"/>
      <c r="E117" s="650"/>
      <c r="F117" s="684"/>
      <c r="G117" s="190"/>
      <c r="H117" s="190"/>
      <c r="I117" s="190"/>
      <c r="J117" s="298"/>
      <c r="K117" s="298"/>
      <c r="L117" s="298"/>
      <c r="M117" s="298"/>
      <c r="N117" s="545"/>
      <c r="O117" s="660"/>
    </row>
    <row r="118" spans="1:15" ht="45" customHeight="1" x14ac:dyDescent="0.5">
      <c r="B118" s="381"/>
      <c r="C118" s="382"/>
      <c r="D118" s="382"/>
      <c r="E118" s="382"/>
      <c r="F118" s="382"/>
      <c r="G118" s="382"/>
      <c r="H118" s="382"/>
      <c r="I118" s="382"/>
      <c r="J118" s="382"/>
      <c r="K118" s="382"/>
      <c r="L118" s="382"/>
      <c r="M118" s="382"/>
      <c r="N118" s="382"/>
      <c r="O118" s="382"/>
    </row>
    <row r="119" spans="1:15" ht="45" customHeight="1" x14ac:dyDescent="0.5">
      <c r="B119" s="674"/>
      <c r="C119" s="298"/>
      <c r="D119" s="298"/>
      <c r="E119" s="298"/>
      <c r="F119" s="298"/>
      <c r="G119" s="298"/>
      <c r="H119" s="298"/>
      <c r="I119" s="298"/>
      <c r="J119" s="298"/>
      <c r="K119" s="298"/>
      <c r="L119" s="298"/>
      <c r="M119" s="298"/>
      <c r="N119" s="545"/>
      <c r="O119" s="660"/>
    </row>
    <row r="120" spans="1:15" ht="45" customHeight="1" x14ac:dyDescent="0.45">
      <c r="B120" s="298"/>
      <c r="C120" s="685"/>
      <c r="D120" s="650"/>
      <c r="E120" s="545"/>
      <c r="F120" s="190"/>
      <c r="G120" s="190"/>
      <c r="H120" s="190"/>
      <c r="I120" s="190"/>
      <c r="J120" s="686"/>
      <c r="K120" s="545"/>
      <c r="L120" s="545"/>
      <c r="M120" s="545"/>
      <c r="N120" s="545"/>
      <c r="O120" s="671"/>
    </row>
    <row r="121" spans="1:15" ht="45" customHeight="1" x14ac:dyDescent="0.35">
      <c r="B121" s="298"/>
      <c r="C121" s="685"/>
      <c r="D121" s="650"/>
      <c r="E121" s="545"/>
      <c r="F121" s="190"/>
      <c r="G121" s="190"/>
      <c r="H121" s="190"/>
      <c r="I121" s="190"/>
      <c r="J121" s="686"/>
      <c r="K121" s="545"/>
      <c r="L121" s="545"/>
      <c r="M121" s="545"/>
      <c r="N121" s="545"/>
      <c r="O121" s="650"/>
    </row>
    <row r="122" spans="1:15" ht="45" customHeight="1" x14ac:dyDescent="0.35">
      <c r="O122" s="650"/>
    </row>
    <row r="123" spans="1:15" ht="45" customHeight="1" x14ac:dyDescent="0.35">
      <c r="O123" s="650"/>
    </row>
    <row r="124" spans="1:15" ht="45" customHeight="1" x14ac:dyDescent="0.35">
      <c r="O124" s="650"/>
    </row>
    <row r="125" spans="1:15" ht="45" customHeight="1" x14ac:dyDescent="0.35">
      <c r="O125" s="650"/>
    </row>
    <row r="126" spans="1:15" ht="45" customHeight="1" x14ac:dyDescent="0.35">
      <c r="O126" s="650"/>
    </row>
    <row r="127" spans="1:15" ht="45" customHeight="1" x14ac:dyDescent="0.35">
      <c r="O127" s="650"/>
    </row>
    <row r="128" spans="1:15" ht="45" customHeight="1" x14ac:dyDescent="0.35">
      <c r="O128" s="650"/>
    </row>
    <row r="129" spans="1:15" ht="45" customHeight="1" x14ac:dyDescent="0.35">
      <c r="O129" s="650"/>
    </row>
    <row r="130" spans="1:15" ht="45" customHeight="1" x14ac:dyDescent="0.35">
      <c r="O130" s="650"/>
    </row>
    <row r="131" spans="1:15" ht="45" customHeight="1" x14ac:dyDescent="0.35">
      <c r="O131" s="650"/>
    </row>
    <row r="132" spans="1:15" ht="45" customHeight="1" x14ac:dyDescent="0.35">
      <c r="O132" s="650"/>
    </row>
    <row r="133" spans="1:15" ht="45" customHeight="1" x14ac:dyDescent="0.35">
      <c r="O133" s="685"/>
    </row>
    <row r="134" spans="1:15" ht="45" customHeight="1" x14ac:dyDescent="0.35">
      <c r="O134" s="685"/>
    </row>
    <row r="135" spans="1:15" ht="45" customHeight="1" x14ac:dyDescent="0.35">
      <c r="O135" s="685"/>
    </row>
    <row r="136" spans="1:15" ht="45" customHeight="1" x14ac:dyDescent="0.35">
      <c r="O136" s="685"/>
    </row>
    <row r="137" spans="1:15" ht="45" customHeight="1" x14ac:dyDescent="0.35">
      <c r="O137" s="685"/>
    </row>
    <row r="138" spans="1:15" ht="45" customHeight="1" x14ac:dyDescent="0.35">
      <c r="B138" s="298"/>
      <c r="C138" s="685"/>
      <c r="D138" s="650"/>
      <c r="E138" s="545"/>
      <c r="F138" s="190"/>
      <c r="G138" s="190"/>
      <c r="H138" s="190"/>
      <c r="I138" s="190"/>
      <c r="J138" s="686"/>
      <c r="K138" s="545"/>
      <c r="L138" s="545"/>
      <c r="M138" s="545"/>
      <c r="N138" s="545"/>
      <c r="O138" s="685"/>
    </row>
    <row r="139" spans="1:15" ht="45" customHeight="1" x14ac:dyDescent="0.35">
      <c r="A139" s="672"/>
      <c r="B139" s="298"/>
      <c r="C139" s="685"/>
      <c r="D139" s="650"/>
      <c r="E139" s="545"/>
      <c r="F139" s="190"/>
      <c r="G139" s="190"/>
      <c r="H139" s="190"/>
      <c r="I139" s="190"/>
      <c r="J139" s="686"/>
      <c r="K139" s="545"/>
      <c r="L139" s="545"/>
      <c r="M139" s="545"/>
      <c r="N139" s="545"/>
      <c r="O139" s="685"/>
    </row>
    <row r="140" spans="1:15" ht="45" customHeight="1" x14ac:dyDescent="0.35">
      <c r="B140" s="298"/>
      <c r="C140" s="685"/>
      <c r="D140" s="650"/>
      <c r="E140" s="545"/>
      <c r="F140" s="190"/>
      <c r="G140" s="190"/>
      <c r="H140" s="190"/>
      <c r="I140" s="190"/>
      <c r="J140" s="686"/>
      <c r="K140" s="545"/>
      <c r="L140" s="545"/>
      <c r="M140" s="545"/>
      <c r="N140" s="545"/>
      <c r="O140" s="685"/>
    </row>
    <row r="141" spans="1:15" ht="45" customHeight="1" x14ac:dyDescent="0.35">
      <c r="B141" s="298"/>
      <c r="C141" s="685"/>
      <c r="D141" s="650"/>
      <c r="E141" s="545"/>
      <c r="F141" s="190"/>
      <c r="G141" s="190"/>
      <c r="H141" s="190"/>
      <c r="I141" s="190"/>
      <c r="J141" s="686"/>
      <c r="K141" s="545"/>
      <c r="L141" s="545"/>
      <c r="M141" s="545"/>
      <c r="N141" s="545"/>
      <c r="O141" s="685"/>
    </row>
    <row r="142" spans="1:15" ht="45" customHeight="1" x14ac:dyDescent="0.35">
      <c r="B142" s="298"/>
      <c r="C142" s="685"/>
      <c r="D142" s="650"/>
      <c r="E142" s="545"/>
      <c r="F142" s="190"/>
      <c r="G142" s="190"/>
      <c r="H142" s="190"/>
      <c r="I142" s="190"/>
      <c r="J142" s="686"/>
      <c r="K142" s="545"/>
      <c r="L142" s="545"/>
      <c r="M142" s="545"/>
      <c r="N142" s="545"/>
      <c r="O142" s="685"/>
    </row>
    <row r="143" spans="1:15" ht="45" customHeight="1" x14ac:dyDescent="0.35">
      <c r="B143" s="298"/>
      <c r="C143" s="685"/>
      <c r="D143" s="685"/>
      <c r="E143" s="545"/>
      <c r="F143" s="190"/>
      <c r="G143" s="190"/>
      <c r="H143" s="190"/>
      <c r="I143" s="190"/>
      <c r="J143" s="688"/>
      <c r="K143" s="545"/>
      <c r="L143" s="688"/>
      <c r="M143" s="688"/>
      <c r="N143" s="545"/>
      <c r="O143" s="685"/>
    </row>
    <row r="144" spans="1:15" ht="45" customHeight="1" x14ac:dyDescent="0.35">
      <c r="B144" s="298"/>
      <c r="C144" s="298"/>
      <c r="D144" s="298"/>
      <c r="E144" s="298"/>
      <c r="F144" s="298"/>
      <c r="G144" s="298"/>
      <c r="H144" s="298"/>
      <c r="I144" s="298"/>
      <c r="J144" s="298"/>
      <c r="K144" s="298"/>
      <c r="L144" s="298"/>
      <c r="M144" s="298"/>
      <c r="N144" s="298"/>
      <c r="O144" s="660"/>
    </row>
    <row r="145" spans="2:15" ht="45" customHeight="1" x14ac:dyDescent="0.5">
      <c r="B145" s="298"/>
      <c r="C145" s="674"/>
      <c r="D145" s="687"/>
      <c r="E145" s="298"/>
      <c r="F145" s="298"/>
      <c r="G145" s="298"/>
      <c r="H145" s="298"/>
      <c r="I145" s="298"/>
      <c r="J145" s="298"/>
      <c r="K145" s="298"/>
      <c r="L145" s="660"/>
      <c r="M145" s="660"/>
      <c r="N145" s="298"/>
      <c r="O145" s="671"/>
    </row>
    <row r="146" spans="2:15" ht="45" customHeight="1" x14ac:dyDescent="0.35">
      <c r="B146" s="298"/>
      <c r="C146" s="947"/>
      <c r="D146" s="947"/>
      <c r="E146" s="947"/>
      <c r="F146" s="647"/>
      <c r="G146" s="944"/>
      <c r="H146" s="944"/>
      <c r="I146" s="944"/>
      <c r="J146" s="944"/>
      <c r="K146" s="944"/>
      <c r="L146" s="944"/>
      <c r="M146" s="944"/>
      <c r="N146" s="944"/>
      <c r="O146" s="650"/>
    </row>
    <row r="147" spans="2:15" ht="45" customHeight="1" x14ac:dyDescent="0.35">
      <c r="B147" s="298"/>
      <c r="C147" s="945"/>
      <c r="D147" s="945"/>
      <c r="E147" s="945"/>
      <c r="F147" s="647"/>
      <c r="G147" s="647"/>
      <c r="H147" s="647"/>
      <c r="I147" s="647"/>
      <c r="J147" s="669"/>
      <c r="K147" s="669"/>
      <c r="L147" s="669"/>
      <c r="M147" s="669"/>
      <c r="N147" s="647"/>
      <c r="O147" s="650"/>
    </row>
    <row r="148" spans="2:15" ht="45" customHeight="1" x14ac:dyDescent="0.35">
      <c r="B148" s="298"/>
      <c r="C148" s="689"/>
      <c r="D148" s="650"/>
      <c r="E148" s="545"/>
      <c r="F148" s="189"/>
      <c r="G148" s="189"/>
      <c r="H148" s="189"/>
      <c r="I148" s="189"/>
      <c r="J148" s="690"/>
      <c r="K148" s="690"/>
      <c r="L148" s="690"/>
      <c r="M148" s="690"/>
      <c r="N148" s="545"/>
      <c r="O148" s="650"/>
    </row>
    <row r="149" spans="2:15" ht="45" customHeight="1" x14ac:dyDescent="0.35">
      <c r="C149" s="691"/>
      <c r="D149" s="467"/>
      <c r="E149" s="453"/>
      <c r="F149" s="178"/>
      <c r="G149" s="178"/>
      <c r="H149" s="178"/>
      <c r="I149" s="178"/>
      <c r="J149" s="692"/>
      <c r="K149" s="693"/>
      <c r="L149" s="693"/>
      <c r="M149" s="693"/>
      <c r="N149" s="454"/>
      <c r="O149" s="694"/>
    </row>
    <row r="150" spans="2:15" ht="45" customHeight="1" x14ac:dyDescent="0.35">
      <c r="C150" s="691"/>
      <c r="D150" s="467"/>
      <c r="E150" s="453"/>
      <c r="F150" s="178"/>
      <c r="G150" s="178"/>
      <c r="H150" s="178"/>
      <c r="I150" s="178"/>
      <c r="J150" s="692"/>
      <c r="K150" s="693"/>
      <c r="L150" s="693"/>
      <c r="M150" s="693"/>
      <c r="N150" s="454"/>
      <c r="O150" s="694"/>
    </row>
    <row r="151" spans="2:15" ht="45" customHeight="1" x14ac:dyDescent="0.35">
      <c r="C151" s="691"/>
      <c r="D151" s="467"/>
      <c r="E151" s="453"/>
      <c r="F151" s="178"/>
      <c r="G151" s="178"/>
      <c r="H151" s="178"/>
      <c r="I151" s="178"/>
      <c r="J151" s="692"/>
      <c r="K151" s="693"/>
      <c r="L151" s="693"/>
      <c r="M151" s="693"/>
      <c r="N151" s="454"/>
      <c r="O151" s="694"/>
    </row>
    <row r="152" spans="2:15" ht="45" customHeight="1" x14ac:dyDescent="0.35">
      <c r="B152" s="383"/>
      <c r="C152" s="695"/>
      <c r="D152" s="467"/>
      <c r="E152" s="453"/>
      <c r="F152" s="178"/>
      <c r="G152" s="178"/>
      <c r="H152" s="178"/>
      <c r="I152" s="178"/>
      <c r="J152" s="692"/>
      <c r="K152" s="693"/>
      <c r="L152" s="693"/>
      <c r="M152" s="693"/>
      <c r="N152" s="454"/>
      <c r="O152" s="694"/>
    </row>
    <row r="153" spans="2:15" ht="45" customHeight="1" x14ac:dyDescent="0.35">
      <c r="C153" s="695"/>
      <c r="D153" s="467"/>
      <c r="E153" s="453"/>
      <c r="F153" s="178"/>
      <c r="G153" s="178"/>
      <c r="H153" s="178"/>
      <c r="I153" s="178"/>
      <c r="J153" s="692"/>
      <c r="K153" s="693"/>
      <c r="L153" s="693"/>
      <c r="M153" s="693"/>
      <c r="N153" s="454"/>
      <c r="O153" s="694"/>
    </row>
    <row r="154" spans="2:15" ht="45" customHeight="1" x14ac:dyDescent="0.35">
      <c r="C154" s="695"/>
      <c r="D154" s="467"/>
      <c r="E154" s="453"/>
      <c r="F154" s="178"/>
      <c r="G154" s="178"/>
      <c r="H154" s="178"/>
      <c r="I154" s="178"/>
      <c r="J154" s="692"/>
      <c r="K154" s="693"/>
      <c r="L154" s="693"/>
      <c r="M154" s="693"/>
      <c r="N154" s="454"/>
      <c r="O154" s="694"/>
    </row>
    <row r="155" spans="2:15" ht="45" customHeight="1" x14ac:dyDescent="0.35">
      <c r="C155" s="695"/>
      <c r="D155" s="467"/>
      <c r="E155" s="453"/>
      <c r="F155" s="178"/>
      <c r="G155" s="178"/>
      <c r="H155" s="178"/>
      <c r="I155" s="178"/>
      <c r="J155" s="692"/>
      <c r="K155" s="693"/>
      <c r="L155" s="693"/>
      <c r="M155" s="693"/>
      <c r="N155" s="454"/>
      <c r="O155" s="694"/>
    </row>
    <row r="156" spans="2:15" ht="45" customHeight="1" x14ac:dyDescent="0.35">
      <c r="C156" s="696"/>
      <c r="D156" s="467"/>
      <c r="E156" s="453"/>
      <c r="F156" s="178"/>
      <c r="G156" s="178"/>
      <c r="H156" s="178"/>
      <c r="I156" s="178"/>
      <c r="J156" s="693"/>
      <c r="K156" s="693"/>
      <c r="L156" s="693"/>
      <c r="M156" s="693"/>
      <c r="N156" s="454"/>
      <c r="O156" s="694"/>
    </row>
    <row r="157" spans="2:15" ht="45" customHeight="1" x14ac:dyDescent="0.35">
      <c r="C157" s="691"/>
      <c r="D157" s="467"/>
      <c r="E157" s="453"/>
      <c r="F157" s="178"/>
      <c r="G157" s="178"/>
      <c r="H157" s="178"/>
      <c r="I157" s="178"/>
      <c r="J157" s="693"/>
      <c r="K157" s="693"/>
      <c r="L157" s="693"/>
      <c r="M157" s="693"/>
      <c r="N157" s="454"/>
      <c r="O157" s="694"/>
    </row>
    <row r="158" spans="2:15" ht="45" customHeight="1" x14ac:dyDescent="0.35">
      <c r="C158" s="691"/>
      <c r="D158" s="467"/>
      <c r="E158" s="453"/>
      <c r="F158" s="178"/>
      <c r="G158" s="178"/>
      <c r="H158" s="178"/>
      <c r="I158" s="178"/>
      <c r="J158" s="693"/>
      <c r="K158" s="693"/>
      <c r="L158" s="693"/>
      <c r="M158" s="693"/>
      <c r="N158" s="454"/>
      <c r="O158" s="694"/>
    </row>
    <row r="159" spans="2:15" ht="45" customHeight="1" x14ac:dyDescent="0.35">
      <c r="C159" s="697"/>
      <c r="D159" s="467"/>
      <c r="E159" s="467"/>
      <c r="F159" s="178"/>
      <c r="G159" s="178"/>
      <c r="H159" s="178"/>
      <c r="I159" s="178"/>
      <c r="J159" s="693"/>
      <c r="K159" s="693"/>
      <c r="L159" s="693"/>
      <c r="M159" s="693"/>
      <c r="N159" s="454"/>
      <c r="O159" s="694"/>
    </row>
    <row r="160" spans="2:15" ht="45" customHeight="1" x14ac:dyDescent="0.35">
      <c r="C160" s="697"/>
      <c r="D160" s="467"/>
      <c r="E160" s="453"/>
      <c r="F160" s="178"/>
      <c r="G160" s="178"/>
      <c r="H160" s="178"/>
      <c r="I160" s="178"/>
      <c r="J160" s="693"/>
      <c r="K160" s="693"/>
      <c r="L160" s="693"/>
      <c r="M160" s="693"/>
      <c r="N160" s="454"/>
      <c r="O160" s="694"/>
    </row>
    <row r="161" spans="2:15" ht="45" customHeight="1" x14ac:dyDescent="0.35">
      <c r="O161" s="120"/>
    </row>
    <row r="162" spans="2:15" ht="45" customHeight="1" x14ac:dyDescent="0.35">
      <c r="B162" s="383"/>
      <c r="C162" s="383"/>
      <c r="D162" s="383"/>
      <c r="E162" s="383"/>
      <c r="F162" s="383"/>
      <c r="G162" s="383"/>
      <c r="H162" s="383"/>
      <c r="I162" s="383"/>
      <c r="J162" s="383"/>
      <c r="K162" s="383"/>
      <c r="L162" s="383"/>
      <c r="M162" s="383"/>
      <c r="O162" s="389"/>
    </row>
    <row r="163" spans="2:15" ht="45" customHeight="1" x14ac:dyDescent="0.5">
      <c r="B163" s="565"/>
      <c r="C163" s="453"/>
      <c r="D163" s="453"/>
      <c r="E163" s="453"/>
      <c r="F163" s="453"/>
      <c r="G163" s="453"/>
      <c r="H163" s="453"/>
      <c r="I163" s="453"/>
      <c r="J163" s="453"/>
      <c r="K163" s="453"/>
      <c r="L163" s="453"/>
      <c r="M163" s="453"/>
      <c r="N163" s="453"/>
      <c r="O163" s="467"/>
    </row>
    <row r="164" spans="2:15" ht="45" customHeight="1" x14ac:dyDescent="0.35">
      <c r="O164" s="120"/>
    </row>
    <row r="165" spans="2:15" ht="45" customHeight="1" x14ac:dyDescent="0.5">
      <c r="C165" s="565"/>
      <c r="D165" s="296"/>
      <c r="E165" s="383"/>
      <c r="F165" s="383"/>
      <c r="G165" s="383"/>
      <c r="H165" s="383"/>
      <c r="I165" s="383"/>
      <c r="J165" s="383"/>
      <c r="K165" s="383"/>
      <c r="L165" s="389"/>
      <c r="M165" s="389"/>
      <c r="O165" s="698"/>
    </row>
    <row r="166" spans="2:15" ht="45" customHeight="1" x14ac:dyDescent="0.35">
      <c r="C166" s="471"/>
      <c r="D166" s="699"/>
      <c r="E166" s="453"/>
      <c r="F166" s="568"/>
      <c r="G166" s="568"/>
      <c r="H166" s="568"/>
      <c r="I166" s="568"/>
      <c r="J166" s="943"/>
      <c r="K166" s="943"/>
      <c r="L166" s="943"/>
      <c r="M166" s="943"/>
      <c r="N166" s="943"/>
      <c r="O166" s="467"/>
    </row>
    <row r="167" spans="2:15" ht="45" customHeight="1" x14ac:dyDescent="0.35">
      <c r="C167" s="453"/>
      <c r="D167" s="453"/>
      <c r="E167" s="453"/>
      <c r="F167" s="568"/>
      <c r="G167" s="568"/>
      <c r="H167" s="568"/>
      <c r="I167" s="568"/>
      <c r="J167" s="619"/>
      <c r="K167" s="619"/>
      <c r="L167" s="619"/>
      <c r="M167" s="619"/>
      <c r="N167" s="618"/>
      <c r="O167" s="467"/>
    </row>
    <row r="168" spans="2:15" ht="45" customHeight="1" x14ac:dyDescent="0.35">
      <c r="C168" s="546"/>
      <c r="D168" s="546"/>
      <c r="E168" s="453"/>
      <c r="F168" s="125"/>
      <c r="G168" s="125"/>
      <c r="H168" s="125"/>
      <c r="I168" s="125"/>
      <c r="J168" s="125"/>
      <c r="K168" s="125"/>
      <c r="L168" s="125"/>
      <c r="M168" s="125"/>
      <c r="N168" s="454"/>
      <c r="O168" s="467"/>
    </row>
    <row r="169" spans="2:15" ht="45" customHeight="1" x14ac:dyDescent="0.35">
      <c r="C169" s="546"/>
      <c r="D169" s="467"/>
      <c r="E169" s="453"/>
      <c r="F169" s="125"/>
      <c r="G169" s="125"/>
      <c r="H169" s="125"/>
      <c r="I169" s="125"/>
      <c r="J169" s="125"/>
      <c r="K169" s="125"/>
      <c r="L169" s="125"/>
      <c r="M169" s="125"/>
      <c r="N169" s="454"/>
      <c r="O169" s="467"/>
    </row>
    <row r="170" spans="2:15" ht="45" customHeight="1" x14ac:dyDescent="0.35">
      <c r="O170" s="120"/>
    </row>
    <row r="171" spans="2:15" ht="45" customHeight="1" x14ac:dyDescent="0.35">
      <c r="O171" s="120"/>
    </row>
    <row r="172" spans="2:15" ht="45" customHeight="1" x14ac:dyDescent="0.5">
      <c r="C172" s="565"/>
      <c r="D172" s="296"/>
      <c r="E172" s="383"/>
      <c r="F172" s="383"/>
      <c r="G172" s="383"/>
      <c r="H172" s="383"/>
      <c r="I172" s="383"/>
      <c r="J172" s="383"/>
      <c r="K172" s="383"/>
      <c r="L172" s="389"/>
      <c r="M172" s="389"/>
      <c r="O172" s="698"/>
    </row>
    <row r="173" spans="2:15" ht="45" customHeight="1" x14ac:dyDescent="0.35">
      <c r="B173" s="383"/>
      <c r="C173" s="946"/>
      <c r="D173" s="946"/>
      <c r="E173" s="946"/>
      <c r="F173" s="568"/>
      <c r="G173" s="568"/>
      <c r="H173" s="568"/>
      <c r="I173" s="568"/>
      <c r="J173" s="943"/>
      <c r="K173" s="943"/>
      <c r="L173" s="943"/>
      <c r="M173" s="943"/>
      <c r="N173" s="943"/>
      <c r="O173" s="467"/>
    </row>
    <row r="174" spans="2:15" ht="45" customHeight="1" x14ac:dyDescent="0.35">
      <c r="B174" s="383"/>
      <c r="C174" s="948"/>
      <c r="D174" s="948"/>
      <c r="E174" s="948"/>
      <c r="F174" s="568"/>
      <c r="G174" s="568"/>
      <c r="H174" s="568"/>
      <c r="I174" s="568"/>
      <c r="J174" s="619"/>
      <c r="K174" s="619"/>
      <c r="L174" s="619"/>
      <c r="M174" s="619"/>
      <c r="N174" s="618"/>
      <c r="O174" s="467"/>
    </row>
    <row r="175" spans="2:15" ht="45" customHeight="1" x14ac:dyDescent="0.35">
      <c r="B175" s="383"/>
      <c r="C175" s="546"/>
      <c r="D175" s="546"/>
      <c r="E175" s="453"/>
      <c r="F175" s="125"/>
      <c r="G175" s="125"/>
      <c r="H175" s="125"/>
      <c r="I175" s="125"/>
      <c r="J175" s="481"/>
      <c r="K175" s="646"/>
      <c r="L175" s="646"/>
      <c r="M175" s="646"/>
      <c r="N175" s="483"/>
      <c r="O175" s="483"/>
    </row>
    <row r="176" spans="2:15" ht="45" customHeight="1" x14ac:dyDescent="0.35">
      <c r="B176" s="383"/>
      <c r="C176" s="546"/>
      <c r="D176" s="546"/>
      <c r="E176" s="453"/>
      <c r="F176" s="125"/>
      <c r="G176" s="125"/>
      <c r="H176" s="125"/>
      <c r="I176" s="125"/>
      <c r="J176" s="481"/>
      <c r="K176" s="646"/>
      <c r="L176" s="646"/>
      <c r="M176" s="646"/>
      <c r="N176" s="483"/>
      <c r="O176" s="483"/>
    </row>
    <row r="177" spans="1:15" ht="45" customHeight="1" x14ac:dyDescent="0.35">
      <c r="B177" s="383"/>
      <c r="C177" s="546"/>
      <c r="D177" s="546"/>
      <c r="E177" s="453"/>
      <c r="F177" s="125"/>
      <c r="G177" s="125"/>
      <c r="H177" s="125"/>
      <c r="I177" s="125"/>
      <c r="J177" s="481"/>
      <c r="K177" s="646"/>
      <c r="L177" s="646"/>
      <c r="M177" s="646"/>
      <c r="N177" s="483"/>
      <c r="O177" s="483"/>
    </row>
    <row r="178" spans="1:15" ht="45" customHeight="1" x14ac:dyDescent="0.35">
      <c r="B178" s="383"/>
      <c r="O178" s="120"/>
    </row>
    <row r="179" spans="1:15" ht="45" customHeight="1" x14ac:dyDescent="0.5">
      <c r="B179" s="565"/>
      <c r="C179" s="453"/>
      <c r="D179" s="453"/>
      <c r="E179" s="453"/>
      <c r="F179" s="453"/>
      <c r="G179" s="453"/>
      <c r="H179" s="453"/>
      <c r="I179" s="453"/>
      <c r="J179" s="453"/>
      <c r="K179" s="453"/>
      <c r="L179" s="453"/>
      <c r="M179" s="453"/>
      <c r="N179" s="453"/>
      <c r="O179" s="467"/>
    </row>
    <row r="180" spans="1:15" ht="45" customHeight="1" x14ac:dyDescent="0.35">
      <c r="B180" s="383"/>
      <c r="C180" s="700"/>
      <c r="D180" s="700"/>
      <c r="E180" s="383"/>
      <c r="F180" s="123"/>
      <c r="G180" s="123"/>
      <c r="H180" s="123"/>
      <c r="I180" s="123"/>
      <c r="J180" s="413"/>
      <c r="K180" s="413"/>
      <c r="L180" s="413"/>
      <c r="M180" s="413"/>
      <c r="N180" s="414"/>
      <c r="O180" s="414"/>
    </row>
    <row r="181" spans="1:15" ht="45" customHeight="1" x14ac:dyDescent="0.5">
      <c r="B181" s="383"/>
      <c r="C181" s="565"/>
      <c r="D181" s="296"/>
      <c r="E181" s="383"/>
      <c r="F181" s="383"/>
      <c r="G181" s="383"/>
      <c r="H181" s="383"/>
      <c r="I181" s="383"/>
      <c r="J181" s="383"/>
      <c r="K181" s="383"/>
      <c r="L181" s="389"/>
      <c r="M181" s="389"/>
      <c r="O181" s="698"/>
    </row>
    <row r="182" spans="1:15" ht="45" customHeight="1" x14ac:dyDescent="0.35">
      <c r="A182" s="672"/>
      <c r="B182" s="383"/>
      <c r="C182" s="471"/>
      <c r="D182" s="699"/>
      <c r="E182" s="453"/>
      <c r="F182" s="568"/>
      <c r="G182" s="568"/>
      <c r="H182" s="568"/>
      <c r="I182" s="568"/>
      <c r="J182" s="943"/>
      <c r="K182" s="943"/>
      <c r="L182" s="943"/>
      <c r="M182" s="943"/>
      <c r="N182" s="943"/>
      <c r="O182" s="467"/>
    </row>
    <row r="183" spans="1:15" ht="45" customHeight="1" x14ac:dyDescent="0.35">
      <c r="A183" s="701"/>
      <c r="B183" s="383"/>
      <c r="C183" s="702"/>
      <c r="D183" s="453"/>
      <c r="E183" s="453"/>
      <c r="F183" s="568"/>
      <c r="G183" s="568"/>
      <c r="H183" s="568"/>
      <c r="I183" s="568"/>
      <c r="J183" s="619"/>
      <c r="K183" s="619"/>
      <c r="L183" s="619"/>
      <c r="M183" s="619"/>
      <c r="N183" s="618"/>
      <c r="O183" s="467"/>
    </row>
    <row r="184" spans="1:15" ht="45" customHeight="1" x14ac:dyDescent="0.35">
      <c r="B184" s="383"/>
      <c r="C184" s="546"/>
      <c r="D184" s="546"/>
      <c r="E184" s="453"/>
      <c r="F184" s="125"/>
      <c r="G184" s="125"/>
      <c r="H184" s="125"/>
      <c r="I184" s="125"/>
      <c r="J184" s="693"/>
      <c r="K184" s="693"/>
      <c r="L184" s="693"/>
      <c r="M184" s="693"/>
      <c r="N184" s="454"/>
      <c r="O184" s="467"/>
    </row>
    <row r="185" spans="1:15" ht="45" customHeight="1" x14ac:dyDescent="0.35">
      <c r="B185" s="383"/>
      <c r="C185" s="546"/>
      <c r="D185" s="546"/>
      <c r="E185" s="453"/>
      <c r="F185" s="125"/>
      <c r="G185" s="179"/>
      <c r="H185" s="179"/>
      <c r="I185" s="179"/>
      <c r="J185" s="703"/>
      <c r="K185" s="703"/>
      <c r="L185" s="703"/>
      <c r="M185" s="703"/>
      <c r="N185" s="454"/>
      <c r="O185" s="467"/>
    </row>
    <row r="186" spans="1:15" ht="45" customHeight="1" x14ac:dyDescent="0.35">
      <c r="A186" s="672"/>
      <c r="B186" s="383"/>
      <c r="C186" s="383"/>
      <c r="D186" s="383"/>
      <c r="E186" s="383"/>
      <c r="F186" s="383"/>
      <c r="G186" s="383"/>
      <c r="H186" s="383"/>
      <c r="I186" s="383"/>
      <c r="J186" s="383"/>
      <c r="K186" s="383"/>
      <c r="L186" s="383"/>
      <c r="M186" s="383"/>
      <c r="O186" s="389"/>
    </row>
    <row r="187" spans="1:15" ht="45" customHeight="1" x14ac:dyDescent="0.35">
      <c r="B187" s="383"/>
      <c r="O187" s="120"/>
    </row>
    <row r="188" spans="1:15" ht="45" customHeight="1" x14ac:dyDescent="0.5">
      <c r="B188" s="383"/>
      <c r="C188" s="565"/>
      <c r="D188" s="296"/>
      <c r="E188" s="383"/>
      <c r="F188" s="383"/>
      <c r="G188" s="383"/>
      <c r="H188" s="383"/>
      <c r="I188" s="383"/>
      <c r="J188" s="383"/>
      <c r="K188" s="383"/>
      <c r="L188" s="389"/>
      <c r="M188" s="389"/>
      <c r="O188" s="698"/>
    </row>
    <row r="189" spans="1:15" ht="45" customHeight="1" x14ac:dyDescent="0.35">
      <c r="B189" s="383"/>
      <c r="C189" s="946"/>
      <c r="D189" s="946"/>
      <c r="E189" s="946"/>
      <c r="F189" s="568"/>
      <c r="G189" s="568"/>
      <c r="H189" s="568"/>
      <c r="I189" s="568"/>
      <c r="J189" s="943"/>
      <c r="K189" s="943"/>
      <c r="L189" s="943"/>
      <c r="M189" s="943"/>
      <c r="N189" s="943"/>
      <c r="O189" s="467"/>
    </row>
    <row r="190" spans="1:15" ht="45" customHeight="1" x14ac:dyDescent="0.35">
      <c r="B190" s="383"/>
      <c r="C190" s="948"/>
      <c r="D190" s="948"/>
      <c r="E190" s="948"/>
      <c r="F190" s="568"/>
      <c r="G190" s="568"/>
      <c r="H190" s="568"/>
      <c r="I190" s="568"/>
      <c r="J190" s="619"/>
      <c r="K190" s="619"/>
      <c r="L190" s="619"/>
      <c r="M190" s="619"/>
      <c r="N190" s="618"/>
      <c r="O190" s="467"/>
    </row>
    <row r="191" spans="1:15" ht="45" customHeight="1" x14ac:dyDescent="0.35">
      <c r="C191" s="546"/>
      <c r="D191" s="546"/>
      <c r="E191" s="453"/>
      <c r="F191" s="125"/>
      <c r="G191" s="125"/>
      <c r="H191" s="125"/>
      <c r="I191" s="125"/>
      <c r="J191" s="481"/>
      <c r="K191" s="646"/>
      <c r="L191" s="646"/>
      <c r="M191" s="646"/>
      <c r="N191" s="483"/>
      <c r="O191" s="483"/>
    </row>
    <row r="192" spans="1:15" ht="45" customHeight="1" x14ac:dyDescent="0.35">
      <c r="C192" s="546"/>
      <c r="D192" s="546"/>
      <c r="E192" s="453"/>
      <c r="F192" s="125"/>
      <c r="G192" s="125"/>
      <c r="H192" s="125"/>
      <c r="I192" s="125"/>
      <c r="J192" s="481"/>
      <c r="K192" s="646"/>
      <c r="L192" s="646"/>
      <c r="M192" s="646"/>
      <c r="N192" s="483"/>
      <c r="O192" s="483"/>
    </row>
    <row r="193" spans="2:15" ht="45" customHeight="1" x14ac:dyDescent="0.35">
      <c r="B193" s="3"/>
      <c r="C193" s="546"/>
      <c r="D193" s="546"/>
      <c r="E193" s="453"/>
      <c r="F193" s="125"/>
      <c r="G193" s="125"/>
      <c r="H193" s="125"/>
      <c r="I193" s="125"/>
      <c r="J193" s="481"/>
      <c r="K193" s="646"/>
      <c r="L193" s="646"/>
      <c r="M193" s="646"/>
      <c r="N193" s="483"/>
      <c r="O193" s="483"/>
    </row>
    <row r="194" spans="2:15" ht="45" customHeight="1" x14ac:dyDescent="0.35">
      <c r="B194" s="383"/>
      <c r="O194" s="120"/>
    </row>
    <row r="195" spans="2:15" ht="45" customHeight="1" x14ac:dyDescent="0.35">
      <c r="O195" s="120"/>
    </row>
    <row r="196" spans="2:15" ht="45" customHeight="1" x14ac:dyDescent="0.5">
      <c r="B196" s="651"/>
      <c r="C196" s="453"/>
      <c r="D196" s="453"/>
      <c r="E196" s="453"/>
      <c r="F196" s="453"/>
      <c r="G196" s="453"/>
      <c r="H196" s="453"/>
      <c r="I196" s="453"/>
      <c r="J196" s="453"/>
      <c r="K196" s="453"/>
      <c r="L196" s="453"/>
      <c r="M196" s="453"/>
      <c r="N196" s="453"/>
      <c r="O196" s="467"/>
    </row>
    <row r="197" spans="2:15" ht="45" customHeight="1" x14ac:dyDescent="0.35">
      <c r="B197" s="383"/>
      <c r="O197" s="120"/>
    </row>
    <row r="198" spans="2:15" ht="45" customHeight="1" x14ac:dyDescent="0.5">
      <c r="B198" s="383"/>
      <c r="C198" s="565"/>
      <c r="D198" s="296"/>
      <c r="E198" s="383"/>
      <c r="F198" s="383"/>
      <c r="G198" s="383"/>
      <c r="H198" s="383"/>
      <c r="I198" s="383"/>
      <c r="J198" s="383"/>
      <c r="K198" s="383"/>
      <c r="L198" s="389"/>
      <c r="M198" s="389"/>
      <c r="O198" s="698"/>
    </row>
    <row r="199" spans="2:15" ht="45" customHeight="1" x14ac:dyDescent="0.35">
      <c r="C199" s="946"/>
      <c r="D199" s="946"/>
      <c r="E199" s="946"/>
      <c r="F199" s="568"/>
      <c r="G199" s="568"/>
      <c r="H199" s="568"/>
      <c r="I199" s="568"/>
      <c r="J199" s="942"/>
      <c r="K199" s="942"/>
      <c r="L199" s="942"/>
      <c r="M199" s="942"/>
      <c r="N199" s="942"/>
      <c r="O199" s="467"/>
    </row>
    <row r="200" spans="2:15" ht="45" customHeight="1" x14ac:dyDescent="0.35">
      <c r="C200" s="454"/>
      <c r="D200" s="454"/>
      <c r="E200" s="454"/>
      <c r="F200" s="568"/>
      <c r="G200" s="568"/>
      <c r="H200" s="568"/>
      <c r="I200" s="568"/>
      <c r="J200" s="619"/>
      <c r="K200" s="619"/>
      <c r="L200" s="619"/>
      <c r="M200" s="619"/>
      <c r="N200" s="618"/>
      <c r="O200" s="694"/>
    </row>
    <row r="201" spans="2:15" ht="45" customHeight="1" x14ac:dyDescent="0.35">
      <c r="B201" s="3"/>
      <c r="C201" s="546"/>
      <c r="D201" s="546"/>
      <c r="E201" s="453"/>
      <c r="F201" s="125"/>
      <c r="G201" s="125"/>
      <c r="H201" s="125"/>
      <c r="I201" s="125"/>
      <c r="J201" s="703"/>
      <c r="K201" s="703"/>
      <c r="L201" s="703"/>
      <c r="M201" s="703"/>
      <c r="N201" s="483"/>
      <c r="O201" s="483"/>
    </row>
    <row r="202" spans="2:15" ht="45" customHeight="1" x14ac:dyDescent="0.35">
      <c r="B202" s="500"/>
      <c r="C202" s="546"/>
      <c r="D202" s="546"/>
      <c r="E202" s="453"/>
      <c r="F202" s="125"/>
      <c r="G202" s="125"/>
      <c r="H202" s="125"/>
      <c r="I202" s="125"/>
      <c r="J202" s="703"/>
      <c r="K202" s="703"/>
      <c r="L202" s="703"/>
      <c r="M202" s="703"/>
      <c r="N202" s="483"/>
      <c r="O202" s="483"/>
    </row>
    <row r="203" spans="2:15" ht="45" customHeight="1" x14ac:dyDescent="0.35">
      <c r="O203" s="120"/>
    </row>
    <row r="204" spans="2:15" ht="45" customHeight="1" x14ac:dyDescent="0.5">
      <c r="B204" s="565"/>
      <c r="C204" s="453"/>
      <c r="D204" s="453"/>
      <c r="E204" s="453"/>
      <c r="F204" s="453"/>
      <c r="G204" s="453"/>
      <c r="H204" s="453"/>
      <c r="I204" s="453"/>
      <c r="J204" s="453"/>
      <c r="K204" s="453"/>
      <c r="L204" s="453"/>
      <c r="M204" s="453"/>
      <c r="N204" s="453"/>
      <c r="O204" s="453"/>
    </row>
  </sheetData>
  <sheetProtection algorithmName="SHA-512" hashValue="+ji58QwsoU1l32YmN9mliY0yMcfIVFlmc2K4yMWW6H7MCbTHx0iKzMDp+4Ywa6Hr9oebE5pV5TR4DxsHa62SYw==" saltValue="4Dz8L6dCLsYAezHEIM8RSA==" spinCount="100000" sheet="1" formatCells="0" formatRows="0"/>
  <mergeCells count="22">
    <mergeCell ref="C19:D19"/>
    <mergeCell ref="C20:D20"/>
    <mergeCell ref="C33:E33"/>
    <mergeCell ref="C34:E34"/>
    <mergeCell ref="C199:E199"/>
    <mergeCell ref="C77:E77"/>
    <mergeCell ref="C78:E78"/>
    <mergeCell ref="C99:E99"/>
    <mergeCell ref="C100:E100"/>
    <mergeCell ref="J199:N199"/>
    <mergeCell ref="J182:N182"/>
    <mergeCell ref="G146:I146"/>
    <mergeCell ref="C147:E147"/>
    <mergeCell ref="C173:E173"/>
    <mergeCell ref="C189:E189"/>
    <mergeCell ref="C146:E146"/>
    <mergeCell ref="C174:E174"/>
    <mergeCell ref="J189:N189"/>
    <mergeCell ref="C190:E190"/>
    <mergeCell ref="J173:N173"/>
    <mergeCell ref="J166:N166"/>
    <mergeCell ref="J146:N146"/>
  </mergeCells>
  <dataValidations disablePrompts="1" count="1">
    <dataValidation type="list" allowBlank="1" showInputMessage="1" showErrorMessage="1" sqref="E21:E28" xr:uid="{3FE3EED4-1A5F-4B5D-BDA6-68BD56D391BE}">
      <formula1>#REF!</formula1>
    </dataValidation>
  </dataValidations>
  <pageMargins left="0.7" right="0.7" top="0.75" bottom="0.75" header="0.3" footer="0.3"/>
  <drawing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F20BDA-1FFD-47C4-A621-14FA993BEAC2}">
  <sheetPr codeName="Sheet8">
    <tabColor theme="7" tint="-0.249977111117893"/>
  </sheetPr>
  <dimension ref="B1:S63"/>
  <sheetViews>
    <sheetView showGridLines="0" topLeftCell="A29" zoomScale="70" zoomScaleNormal="70" workbookViewId="0">
      <selection activeCell="D42" sqref="D42"/>
    </sheetView>
  </sheetViews>
  <sheetFormatPr defaultRowHeight="14.5" x14ac:dyDescent="0.35"/>
  <cols>
    <col min="2" max="2" width="12.7265625" customWidth="1"/>
    <col min="3" max="3" width="45.1796875" customWidth="1"/>
    <col min="4" max="7" width="12.54296875" customWidth="1"/>
    <col min="9" max="9" width="13.7265625" customWidth="1"/>
    <col min="10" max="10" width="43.26953125" customWidth="1"/>
    <col min="11" max="14" width="12.54296875" customWidth="1"/>
  </cols>
  <sheetData>
    <row r="1" spans="2:6" ht="32" x14ac:dyDescent="0.7">
      <c r="C1" s="116" t="s">
        <v>29</v>
      </c>
      <c r="D1" s="117"/>
    </row>
    <row r="2" spans="2:6" ht="32" x14ac:dyDescent="0.7">
      <c r="B2" s="118" t="s">
        <v>30</v>
      </c>
      <c r="C2" s="119"/>
      <c r="D2" s="119" t="str">
        <f>Basisoplysninger!B6</f>
        <v>Vælg selskab (dropdown)</v>
      </c>
      <c r="F2" s="119"/>
    </row>
    <row r="3" spans="2:6" ht="45" customHeight="1" x14ac:dyDescent="0.35">
      <c r="C3" s="7" t="e">
        <f>INDEX(rDV!A10:A242,MATCH(Drikkevand!C2,rDV!B10:B242,0))</f>
        <v>#N/A</v>
      </c>
    </row>
    <row r="4" spans="2:6" ht="45" customHeight="1" x14ac:dyDescent="0.35"/>
    <row r="5" spans="2:6" ht="45" customHeight="1" x14ac:dyDescent="0.35"/>
    <row r="6" spans="2:6" ht="45" customHeight="1" x14ac:dyDescent="0.35"/>
    <row r="7" spans="2:6" ht="25.15" customHeight="1" x14ac:dyDescent="0.35"/>
    <row r="8" spans="2:6" ht="25.15" customHeight="1" x14ac:dyDescent="0.35"/>
    <row r="9" spans="2:6" ht="25.15" customHeight="1" x14ac:dyDescent="0.35"/>
    <row r="10" spans="2:6" ht="25.15" customHeight="1" x14ac:dyDescent="0.35"/>
    <row r="11" spans="2:6" ht="25.15" customHeight="1" x14ac:dyDescent="0.35"/>
    <row r="12" spans="2:6" ht="25.15" customHeight="1" x14ac:dyDescent="0.35"/>
    <row r="13" spans="2:6" ht="25.15" customHeight="1" x14ac:dyDescent="0.35"/>
    <row r="14" spans="2:6" ht="25.15" customHeight="1" x14ac:dyDescent="0.35"/>
    <row r="15" spans="2:6" ht="25.15" customHeight="1" x14ac:dyDescent="0.35"/>
    <row r="16" spans="2:6" ht="25.15" customHeight="1" x14ac:dyDescent="0.35"/>
    <row r="17" spans="2:19" ht="25.15" customHeight="1" x14ac:dyDescent="0.35"/>
    <row r="18" spans="2:19" ht="25.15" customHeight="1" x14ac:dyDescent="0.35"/>
    <row r="19" spans="2:19" ht="25.15" customHeight="1" x14ac:dyDescent="0.35"/>
    <row r="20" spans="2:19" ht="25.15" customHeight="1" x14ac:dyDescent="0.35"/>
    <row r="21" spans="2:19" ht="25.15" customHeight="1" x14ac:dyDescent="0.35"/>
    <row r="22" spans="2:19" ht="19.899999999999999" customHeight="1" thickBot="1" x14ac:dyDescent="0.4"/>
    <row r="23" spans="2:19" ht="35.25" customHeight="1" thickBot="1" x14ac:dyDescent="0.4">
      <c r="B23" s="274" t="s">
        <v>1399</v>
      </c>
      <c r="C23" s="275"/>
      <c r="D23" s="276">
        <v>2023</v>
      </c>
      <c r="E23" s="276">
        <v>2025</v>
      </c>
      <c r="F23" s="276">
        <f t="shared" ref="F23" si="0">E23+5</f>
        <v>2030</v>
      </c>
      <c r="G23" s="277">
        <f t="shared" ref="G23" si="1">F23+5</f>
        <v>2035</v>
      </c>
      <c r="I23" s="131" t="s">
        <v>1394</v>
      </c>
      <c r="J23" s="132"/>
      <c r="K23" s="133">
        <v>2023</v>
      </c>
      <c r="L23" s="133">
        <v>2025</v>
      </c>
      <c r="M23" s="133">
        <f t="shared" ref="M23" si="2">L23+5</f>
        <v>2030</v>
      </c>
      <c r="N23" s="134">
        <f t="shared" ref="N23" si="3">M23+5</f>
        <v>2035</v>
      </c>
      <c r="O23" s="832"/>
      <c r="P23" s="954" t="s">
        <v>1516</v>
      </c>
      <c r="Q23" s="955"/>
      <c r="R23" s="956"/>
    </row>
    <row r="24" spans="2:19" ht="35.25" customHeight="1" x14ac:dyDescent="0.35">
      <c r="B24" s="278"/>
      <c r="C24" s="279" t="s">
        <v>203</v>
      </c>
      <c r="D24" s="280">
        <f>K24</f>
        <v>0</v>
      </c>
      <c r="E24" s="280">
        <f t="shared" ref="E24:G24" si="4">L24</f>
        <v>0</v>
      </c>
      <c r="F24" s="280">
        <f t="shared" si="4"/>
        <v>0</v>
      </c>
      <c r="G24" s="310">
        <f t="shared" si="4"/>
        <v>0</v>
      </c>
      <c r="I24" s="135"/>
      <c r="J24" s="132" t="s">
        <v>203</v>
      </c>
      <c r="K24" s="151">
        <f>IFERROR(SUM(K25:K27),"")</f>
        <v>0</v>
      </c>
      <c r="L24" s="151">
        <f t="shared" ref="L24:N24" si="5">IFERROR(SUM(L25:L27),"")</f>
        <v>0</v>
      </c>
      <c r="M24" s="151">
        <f t="shared" si="5"/>
        <v>0</v>
      </c>
      <c r="N24" s="152">
        <f t="shared" si="5"/>
        <v>0</v>
      </c>
      <c r="O24" s="832"/>
      <c r="P24" s="957"/>
      <c r="Q24" s="958"/>
      <c r="R24" s="959"/>
    </row>
    <row r="25" spans="2:19" ht="35.25" customHeight="1" thickBot="1" x14ac:dyDescent="0.4">
      <c r="B25" s="281"/>
      <c r="C25" s="282" t="s">
        <v>204</v>
      </c>
      <c r="D25" s="826">
        <f>K28</f>
        <v>0</v>
      </c>
      <c r="E25" s="826">
        <f t="shared" ref="E25:G25" si="6">L28</f>
        <v>0</v>
      </c>
      <c r="F25" s="826">
        <f t="shared" si="6"/>
        <v>0</v>
      </c>
      <c r="G25" s="827">
        <f t="shared" si="6"/>
        <v>0</v>
      </c>
      <c r="I25" s="966" t="s">
        <v>182</v>
      </c>
      <c r="J25" s="311" t="s">
        <v>205</v>
      </c>
      <c r="K25" s="770">
        <f>SUM(Drikkevand!F33*Drikkevand!J33,Drikkevand!F35*Drikkevand!J35,Drikkevand!F36*Drikkevand!J36,Drikkevand!F37*Drikkevand!$K$37,Drikkevand!F39*Drikkevand!J39,Drikkevand!F40*Drikkevand!J40,Drikkevand!F41*Drikkevand!J41)</f>
        <v>0</v>
      </c>
      <c r="L25" s="770">
        <f>SUM(Drikkevand!G33*Drikkevand!K33,Drikkevand!G35*Drikkevand!K35,Drikkevand!G36*Drikkevand!K36,Drikkevand!G37*Drikkevand!$K$37,Drikkevand!G39*Drikkevand!K39,Drikkevand!G40*Drikkevand!K40,Drikkevand!G41*Drikkevand!K41)</f>
        <v>0</v>
      </c>
      <c r="M25" s="770">
        <f>SUM(Drikkevand!H33*Drikkevand!L33,Drikkevand!H35*Drikkevand!L35,Drikkevand!H36*Drikkevand!L36,Drikkevand!H37*Drikkevand!$K$37,Drikkevand!H39*Drikkevand!L39,Drikkevand!H40*Drikkevand!L40,Drikkevand!H41*Drikkevand!L41)</f>
        <v>0</v>
      </c>
      <c r="N25" s="771">
        <f>SUM(Drikkevand!I33*Drikkevand!M33,Drikkevand!I35*Drikkevand!M35,Drikkevand!I36*Drikkevand!M36,Drikkevand!I37*Drikkevand!$K$37,Drikkevand!I39*Drikkevand!M39,Drikkevand!I40*Drikkevand!M40,Drikkevand!I41*Drikkevand!M41)</f>
        <v>0</v>
      </c>
      <c r="P25" s="960"/>
      <c r="Q25" s="961"/>
      <c r="R25" s="962"/>
      <c r="S25" s="832"/>
    </row>
    <row r="26" spans="2:19" ht="35.25" customHeight="1" x14ac:dyDescent="0.35">
      <c r="B26" s="281"/>
      <c r="C26" s="282" t="s">
        <v>206</v>
      </c>
      <c r="D26" s="826">
        <f>K31</f>
        <v>0</v>
      </c>
      <c r="E26" s="826">
        <f t="shared" ref="E26:G26" si="7">L31</f>
        <v>0</v>
      </c>
      <c r="F26" s="826">
        <f t="shared" si="7"/>
        <v>0</v>
      </c>
      <c r="G26" s="827">
        <f t="shared" si="7"/>
        <v>0</v>
      </c>
      <c r="I26" s="966"/>
      <c r="J26" s="138" t="s">
        <v>207</v>
      </c>
      <c r="K26" s="770">
        <f>IFERROR(Drikkevand!F47*Drikkevand!J49,"")</f>
        <v>0</v>
      </c>
      <c r="L26" s="770">
        <f>IFERROR(Drikkevand!G47*Drikkevand!K49,"")</f>
        <v>0</v>
      </c>
      <c r="M26" s="770">
        <f>IFERROR(Drikkevand!H47*Drikkevand!L49,"")</f>
        <v>0</v>
      </c>
      <c r="N26" s="771">
        <f>IFERROR(Drikkevand!I47*Drikkevand!M49,"")</f>
        <v>0</v>
      </c>
      <c r="Q26" s="832"/>
      <c r="R26" s="832"/>
      <c r="S26" s="832"/>
    </row>
    <row r="27" spans="2:19" ht="35.25" customHeight="1" x14ac:dyDescent="0.35">
      <c r="B27" s="281"/>
      <c r="C27" s="282" t="s">
        <v>208</v>
      </c>
      <c r="D27" s="828">
        <f>K37</f>
        <v>0</v>
      </c>
      <c r="E27" s="828">
        <f t="shared" ref="E27:G27" si="8">L37</f>
        <v>0</v>
      </c>
      <c r="F27" s="828">
        <f t="shared" si="8"/>
        <v>0</v>
      </c>
      <c r="G27" s="829">
        <f t="shared" si="8"/>
        <v>0</v>
      </c>
      <c r="I27" s="967"/>
      <c r="J27" s="139" t="s">
        <v>209</v>
      </c>
      <c r="K27" s="770">
        <f>IFERROR(SUM(Drikkevand!F55*Drikkevand!J55,Drikkevand!F56*Drikkevand!J56),"")</f>
        <v>0</v>
      </c>
      <c r="L27" s="770">
        <f>IFERROR(SUM(Drikkevand!G55*Drikkevand!K55,Drikkevand!G56*Drikkevand!K56),"")</f>
        <v>0</v>
      </c>
      <c r="M27" s="770">
        <f>IFERROR(SUM(Drikkevand!H55*Drikkevand!L55,Drikkevand!H56*Drikkevand!L56),"")</f>
        <v>0</v>
      </c>
      <c r="N27" s="771">
        <f>IFERROR(SUM(Drikkevand!I55*Drikkevand!M55,Drikkevand!I56*Drikkevand!M56),"")</f>
        <v>0</v>
      </c>
      <c r="Q27" s="832"/>
      <c r="R27" s="832"/>
      <c r="S27" s="832"/>
    </row>
    <row r="28" spans="2:19" ht="35.25" customHeight="1" thickBot="1" x14ac:dyDescent="0.4">
      <c r="B28" s="283"/>
      <c r="C28" s="284" t="s">
        <v>210</v>
      </c>
      <c r="D28" s="830">
        <f>K47</f>
        <v>0</v>
      </c>
      <c r="E28" s="830">
        <f>L47</f>
        <v>0</v>
      </c>
      <c r="F28" s="830">
        <f>M47</f>
        <v>0</v>
      </c>
      <c r="G28" s="831">
        <f>N47</f>
        <v>0</v>
      </c>
      <c r="I28" s="137"/>
      <c r="J28" s="296" t="s">
        <v>211</v>
      </c>
      <c r="K28" s="823">
        <f>SUM(K29:K30)</f>
        <v>0</v>
      </c>
      <c r="L28" s="823">
        <f t="shared" ref="L28:N28" si="9">SUM(L29:L30)</f>
        <v>0</v>
      </c>
      <c r="M28" s="823">
        <f t="shared" si="9"/>
        <v>0</v>
      </c>
      <c r="N28" s="824">
        <f t="shared" si="9"/>
        <v>0</v>
      </c>
    </row>
    <row r="29" spans="2:19" ht="35.25" customHeight="1" x14ac:dyDescent="0.35">
      <c r="B29" s="281"/>
      <c r="C29" s="285" t="s">
        <v>1170</v>
      </c>
      <c r="D29" s="742">
        <f>'Resultat drikkevand'!K51</f>
        <v>0</v>
      </c>
      <c r="E29" s="742">
        <f>'Resultat drikkevand'!L51</f>
        <v>0</v>
      </c>
      <c r="F29" s="742">
        <f>'Resultat drikkevand'!M51</f>
        <v>0</v>
      </c>
      <c r="G29" s="743">
        <f>'Resultat drikkevand'!N51</f>
        <v>0</v>
      </c>
      <c r="I29" s="966" t="s">
        <v>212</v>
      </c>
      <c r="J29" s="138" t="s">
        <v>87</v>
      </c>
      <c r="K29" s="770">
        <f>IFERROR(Drikkevand!F70*Drikkevand!J70,"")</f>
        <v>0</v>
      </c>
      <c r="L29" s="770">
        <f>IFERROR(Drikkevand!G70*Drikkevand!K70,"")</f>
        <v>0</v>
      </c>
      <c r="M29" s="770">
        <f>IFERROR(Drikkevand!H70*Drikkevand!L70,"")</f>
        <v>0</v>
      </c>
      <c r="N29" s="771">
        <f>IFERROR(Drikkevand!I70*Drikkevand!M70,"")</f>
        <v>0</v>
      </c>
    </row>
    <row r="30" spans="2:19" ht="35.25" customHeight="1" thickBot="1" x14ac:dyDescent="0.4">
      <c r="B30" s="283"/>
      <c r="C30" s="284" t="s">
        <v>216</v>
      </c>
      <c r="D30" s="757" t="str">
        <f>K54</f>
        <v>ingen ekstern varmepumpe</v>
      </c>
      <c r="E30" s="757" t="str">
        <f t="shared" ref="E30:G30" si="10">L54</f>
        <v>ingen ekstern varmepumpe</v>
      </c>
      <c r="F30" s="757" t="str">
        <f t="shared" si="10"/>
        <v>ingen ekstern varmepumpe</v>
      </c>
      <c r="G30" s="758" t="str">
        <f t="shared" si="10"/>
        <v>ingen ekstern varmepumpe</v>
      </c>
      <c r="I30" s="967"/>
      <c r="J30" s="141" t="s">
        <v>40</v>
      </c>
      <c r="K30" s="770">
        <f>IFERROR(Drikkevand!F64*Drikkevand!J64,"")</f>
        <v>0</v>
      </c>
      <c r="L30" s="770">
        <f>IFERROR(Drikkevand!G64*Drikkevand!K64,"")</f>
        <v>0</v>
      </c>
      <c r="M30" s="770">
        <f>IFERROR(Drikkevand!H64*Drikkevand!L64,"")</f>
        <v>0</v>
      </c>
      <c r="N30" s="771">
        <f>IFERROR(Drikkevand!I64*Drikkevand!M64,"")</f>
        <v>0</v>
      </c>
    </row>
    <row r="31" spans="2:19" ht="35.25" customHeight="1" x14ac:dyDescent="0.35">
      <c r="I31" s="136"/>
      <c r="J31" s="296" t="s">
        <v>213</v>
      </c>
      <c r="K31" s="779">
        <f>SUM(K32:K36)</f>
        <v>0</v>
      </c>
      <c r="L31" s="779">
        <f t="shared" ref="L31:N31" si="11">SUM(L32:L36)</f>
        <v>0</v>
      </c>
      <c r="M31" s="779">
        <f t="shared" si="11"/>
        <v>0</v>
      </c>
      <c r="N31" s="780">
        <f t="shared" si="11"/>
        <v>0</v>
      </c>
    </row>
    <row r="32" spans="2:19" ht="35.25" customHeight="1" x14ac:dyDescent="0.35">
      <c r="C32" s="143"/>
      <c r="D32" s="144"/>
      <c r="E32" s="144"/>
      <c r="F32" s="144"/>
      <c r="G32" s="144"/>
      <c r="I32" s="966" t="s">
        <v>183</v>
      </c>
      <c r="J32" s="138" t="s">
        <v>214</v>
      </c>
      <c r="K32" s="770" cm="1">
        <f t="array" ref="K32">SUM(Drikkevand!F89:F108*Drikkevand!$K$89:$K$108)</f>
        <v>0</v>
      </c>
      <c r="L32" s="770" cm="1">
        <f t="array" ref="L32">SUM(Drikkevand!G89:G108*Drikkevand!$K$89:$K$108)</f>
        <v>0</v>
      </c>
      <c r="M32" s="770" cm="1">
        <f t="array" ref="M32">SUM(Drikkevand!H89:H108*Drikkevand!$K$89:$K$108)</f>
        <v>0</v>
      </c>
      <c r="N32" s="771" cm="1">
        <f t="array" ref="N32">SUM(Drikkevand!I89:I108*Drikkevand!$K$89:$K$108)</f>
        <v>0</v>
      </c>
    </row>
    <row r="33" spans="2:14" ht="35.25" customHeight="1" x14ac:dyDescent="0.35">
      <c r="I33" s="966"/>
      <c r="J33" s="138" t="s">
        <v>1211</v>
      </c>
      <c r="K33" s="770" cm="1">
        <f t="array" ref="K33">(SUM(Drikkevand!F115:F117*Drikkevand!J115:J117,Drikkevand!F119:F121*Drikkevand!J119:J121,Drikkevand!F118*Drikkevand!$K$118))</f>
        <v>0</v>
      </c>
      <c r="L33" s="770" cm="1">
        <f t="array" ref="L33">(SUM(Drikkevand!G115:G117*Drikkevand!K115:K117,Drikkevand!G119:G121*Drikkevand!K119:K121,Drikkevand!G118*Drikkevand!$K$118))</f>
        <v>0</v>
      </c>
      <c r="M33" s="770" cm="1">
        <f t="array" ref="M33">(SUM(Drikkevand!H115:H117*Drikkevand!L115:L117,Drikkevand!H119:H121*Drikkevand!L119:L121,Drikkevand!H118*Drikkevand!$K$118))</f>
        <v>0</v>
      </c>
      <c r="N33" s="771" cm="1">
        <f t="array" ref="N33">(SUM(Drikkevand!I115:I117*Drikkevand!M115:M117,Drikkevand!I119:I121*Drikkevand!M119:M121,Drikkevand!I118*Drikkevand!$K$118))</f>
        <v>0</v>
      </c>
    </row>
    <row r="34" spans="2:14" ht="35.25" customHeight="1" x14ac:dyDescent="0.35">
      <c r="I34" s="966"/>
      <c r="J34" s="138" t="s">
        <v>1208</v>
      </c>
      <c r="K34" s="770" cm="1">
        <f t="array" ref="K34">IFERROR(SUM(Drikkevand!F123:F124*Drikkevand!J123:J124),"")</f>
        <v>0</v>
      </c>
      <c r="L34" s="770" cm="1">
        <f t="array" ref="L34">IFERROR(SUM(Drikkevand!G123:G124*Drikkevand!K123:K124),"")</f>
        <v>0</v>
      </c>
      <c r="M34" s="770" cm="1">
        <f t="array" ref="M34">IFERROR(SUM(Drikkevand!H123:H124*Drikkevand!L123:L124),"")</f>
        <v>0</v>
      </c>
      <c r="N34" s="771" cm="1">
        <f t="array" ref="N34">IFERROR(SUM(Drikkevand!I123:I124*Drikkevand!M123:M124),"")</f>
        <v>0</v>
      </c>
    </row>
    <row r="35" spans="2:14" ht="35.25" customHeight="1" x14ac:dyDescent="0.35">
      <c r="I35" s="966"/>
      <c r="J35" s="138" t="s">
        <v>1209</v>
      </c>
      <c r="K35" s="770">
        <f>IFERROR(Drikkevand!F126*Drikkevand!J126,"")</f>
        <v>0</v>
      </c>
      <c r="L35" s="770">
        <f>IFERROR(Drikkevand!G126*Drikkevand!K126,"")</f>
        <v>0</v>
      </c>
      <c r="M35" s="770">
        <f>IFERROR(Drikkevand!H126*Drikkevand!L126,"")</f>
        <v>0</v>
      </c>
      <c r="N35" s="771">
        <f>IFERROR(Drikkevand!I126*Drikkevand!M126,"")</f>
        <v>0</v>
      </c>
    </row>
    <row r="36" spans="2:14" ht="35.25" customHeight="1" x14ac:dyDescent="0.35">
      <c r="I36" s="967"/>
      <c r="J36" s="138" t="s">
        <v>1210</v>
      </c>
      <c r="K36" s="770">
        <f>IFERROR(Drikkevand!F125*Drikkevand!J125,"")</f>
        <v>0</v>
      </c>
      <c r="L36" s="770">
        <f>IFERROR(Drikkevand!G125*Drikkevand!K125,"")</f>
        <v>0</v>
      </c>
      <c r="M36" s="770">
        <f>IFERROR(Drikkevand!H125*Drikkevand!L125,"")</f>
        <v>0</v>
      </c>
      <c r="N36" s="771">
        <f>IFERROR(Drikkevand!I125*Drikkevand!M125,"")</f>
        <v>0</v>
      </c>
    </row>
    <row r="37" spans="2:14" ht="35.25" customHeight="1" x14ac:dyDescent="0.35">
      <c r="I37" s="142"/>
      <c r="J37" s="145" t="s">
        <v>208</v>
      </c>
      <c r="K37" s="781">
        <f>SUM(K38,K42)</f>
        <v>0</v>
      </c>
      <c r="L37" s="781">
        <f t="shared" ref="L37:N37" si="12">SUM(L38,L42)</f>
        <v>0</v>
      </c>
      <c r="M37" s="781">
        <f t="shared" si="12"/>
        <v>0</v>
      </c>
      <c r="N37" s="782">
        <f t="shared" si="12"/>
        <v>0</v>
      </c>
    </row>
    <row r="38" spans="2:14" ht="35.25" customHeight="1" x14ac:dyDescent="0.35">
      <c r="I38" s="966" t="s">
        <v>217</v>
      </c>
      <c r="J38" s="312" t="s">
        <v>218</v>
      </c>
      <c r="K38" s="783">
        <f>IFERROR(SUM(K39:K41),"")</f>
        <v>0</v>
      </c>
      <c r="L38" s="783">
        <f t="shared" ref="L38:N38" si="13">IFERROR(SUM(L39:L41),"")</f>
        <v>0</v>
      </c>
      <c r="M38" s="783">
        <f t="shared" si="13"/>
        <v>0</v>
      </c>
      <c r="N38" s="784">
        <f t="shared" si="13"/>
        <v>0</v>
      </c>
    </row>
    <row r="39" spans="2:14" ht="35.25" customHeight="1" x14ac:dyDescent="0.35">
      <c r="I39" s="966"/>
      <c r="J39" s="313" t="s">
        <v>107</v>
      </c>
      <c r="K39" s="785">
        <f>IFERROR(SUM(Drikkevand!F134*Drikkevand!J134,Drikkevand!F135*Drikkevand!J135),"")</f>
        <v>0</v>
      </c>
      <c r="L39" s="785">
        <f>IFERROR(SUM(Drikkevand!G134*Drikkevand!K134,Drikkevand!G135*Drikkevand!K135),"")</f>
        <v>0</v>
      </c>
      <c r="M39" s="785">
        <f>IFERROR(SUM(Drikkevand!H134*Drikkevand!L134,Drikkevand!H135*Drikkevand!L135),"")</f>
        <v>0</v>
      </c>
      <c r="N39" s="786">
        <f>IFERROR(SUM(Drikkevand!I134*Drikkevand!M134,Drikkevand!I135*Drikkevand!M135),"")</f>
        <v>0</v>
      </c>
    </row>
    <row r="40" spans="2:14" ht="35.25" customHeight="1" thickBot="1" x14ac:dyDescent="0.4">
      <c r="C40" s="143"/>
      <c r="D40" s="272"/>
      <c r="E40" s="272"/>
      <c r="F40" s="272"/>
      <c r="G40" s="272"/>
      <c r="I40" s="966"/>
      <c r="J40" s="313" t="s">
        <v>116</v>
      </c>
      <c r="K40" s="785">
        <f>IFERROR(-Drikkevand!F141,"")</f>
        <v>0</v>
      </c>
      <c r="L40" s="785">
        <f>IFERROR(-Drikkevand!G141,"")</f>
        <v>0</v>
      </c>
      <c r="M40" s="785">
        <f>IFERROR(-Drikkevand!H141,"")</f>
        <v>0</v>
      </c>
      <c r="N40" s="786">
        <f>IFERROR(-Drikkevand!I141,"")</f>
        <v>0</v>
      </c>
    </row>
    <row r="41" spans="2:14" ht="35.25" customHeight="1" thickBot="1" x14ac:dyDescent="0.4">
      <c r="B41" s="286" t="s">
        <v>1393</v>
      </c>
      <c r="C41" s="287"/>
      <c r="D41" s="288">
        <v>2023</v>
      </c>
      <c r="E41" s="288">
        <v>2025</v>
      </c>
      <c r="F41" s="288">
        <f t="shared" ref="F41" si="14">E41+5</f>
        <v>2030</v>
      </c>
      <c r="G41" s="289">
        <f t="shared" ref="G41" si="15">F41+5</f>
        <v>2035</v>
      </c>
      <c r="I41" s="966"/>
      <c r="J41" s="154" t="s">
        <v>1398</v>
      </c>
      <c r="K41" s="787" cm="1">
        <f t="array" ref="K41">SUM(-Drikkevand!F142:F143)</f>
        <v>0</v>
      </c>
      <c r="L41" s="787" cm="1">
        <f t="array" ref="L41">SUM(-Drikkevand!G142:G143)</f>
        <v>0</v>
      </c>
      <c r="M41" s="787" cm="1">
        <f t="array" ref="M41">SUM(-Drikkevand!H142:H143)</f>
        <v>0</v>
      </c>
      <c r="N41" s="788" cm="1">
        <f t="array" ref="N41">SUM(-Drikkevand!I142:I143)</f>
        <v>0</v>
      </c>
    </row>
    <row r="42" spans="2:14" ht="35.25" customHeight="1" x14ac:dyDescent="0.35">
      <c r="B42" s="290"/>
      <c r="C42" s="752" t="s">
        <v>1395</v>
      </c>
      <c r="D42" s="762">
        <f>SUM(Drikkevand!F31,Drikkevand!F70)/1000</f>
        <v>0</v>
      </c>
      <c r="E42" s="764">
        <f>SUM(Drikkevand!G31,Drikkevand!G70)/1000</f>
        <v>0</v>
      </c>
      <c r="F42" s="764">
        <f>SUM(Drikkevand!H31,Drikkevand!H70)/1000</f>
        <v>0</v>
      </c>
      <c r="G42" s="765">
        <f>SUM(Drikkevand!I31,Drikkevand!I70)/1000</f>
        <v>0</v>
      </c>
      <c r="I42" s="966"/>
      <c r="J42" s="314" t="s">
        <v>219</v>
      </c>
      <c r="K42" s="789">
        <f>IFERROR(SUM(K43:K46),"")</f>
        <v>0</v>
      </c>
      <c r="L42" s="789">
        <f t="shared" ref="L42:N42" si="16">IFERROR(SUM(L43:L46),"")</f>
        <v>0</v>
      </c>
      <c r="M42" s="789">
        <f t="shared" si="16"/>
        <v>0</v>
      </c>
      <c r="N42" s="790">
        <f t="shared" si="16"/>
        <v>0</v>
      </c>
    </row>
    <row r="43" spans="2:14" ht="35.25" customHeight="1" x14ac:dyDescent="0.35">
      <c r="B43" s="291"/>
      <c r="C43" s="753" t="s">
        <v>1396</v>
      </c>
      <c r="D43" s="764">
        <f>SUM(Drikkevand!F150:F151)/1000</f>
        <v>0</v>
      </c>
      <c r="E43" s="764">
        <f>SUM(Drikkevand!G150:G151)/1000</f>
        <v>0</v>
      </c>
      <c r="F43" s="764">
        <f>SUM(Drikkevand!H150:H151)/1000</f>
        <v>0</v>
      </c>
      <c r="G43" s="765">
        <f>SUM(Drikkevand!I150:I151)/1000</f>
        <v>0</v>
      </c>
      <c r="I43" s="966"/>
      <c r="J43" s="313" t="s">
        <v>220</v>
      </c>
      <c r="K43" s="785">
        <f>(Drikkevand!F150*Drikkevand!J150)</f>
        <v>0</v>
      </c>
      <c r="L43" s="785">
        <f>(Drikkevand!G150*Drikkevand!K150)</f>
        <v>0</v>
      </c>
      <c r="M43" s="785">
        <f>(Drikkevand!H150*Drikkevand!L150)</f>
        <v>0</v>
      </c>
      <c r="N43" s="786">
        <f>(Drikkevand!I150*Drikkevand!M150)</f>
        <v>0</v>
      </c>
    </row>
    <row r="44" spans="2:14" ht="35.25" customHeight="1" x14ac:dyDescent="0.35">
      <c r="B44" s="291"/>
      <c r="C44" s="753" t="s">
        <v>1288</v>
      </c>
      <c r="D44" s="764">
        <f>SUM(Drikkevand!F78:F79)/1000</f>
        <v>0</v>
      </c>
      <c r="E44" s="764">
        <f>SUM(Drikkevand!G78:G79)/1000</f>
        <v>0</v>
      </c>
      <c r="F44" s="764">
        <f>SUM(Drikkevand!H78:H79)/1000</f>
        <v>0</v>
      </c>
      <c r="G44" s="765">
        <f>SUM(Drikkevand!I78:I79)/1000</f>
        <v>0</v>
      </c>
      <c r="I44" s="966"/>
      <c r="J44" s="315" t="s">
        <v>1413</v>
      </c>
      <c r="K44" s="785">
        <f>IFERROR(Drikkevand!F151*Drikkevand!J151,"")</f>
        <v>0</v>
      </c>
      <c r="L44" s="785">
        <f>IFERROR(Drikkevand!G151*Drikkevand!K151,"")</f>
        <v>0</v>
      </c>
      <c r="M44" s="785">
        <f>IFERROR(Drikkevand!H151*Drikkevand!L151,"")</f>
        <v>0</v>
      </c>
      <c r="N44" s="786">
        <f>IFERROR(Drikkevand!I151*Drikkevand!M151,"")</f>
        <v>0</v>
      </c>
    </row>
    <row r="45" spans="2:14" ht="35.25" customHeight="1" thickBot="1" x14ac:dyDescent="0.4">
      <c r="B45" s="291"/>
      <c r="C45" s="753" t="s">
        <v>1397</v>
      </c>
      <c r="D45" s="740">
        <f>SUM(Drikkevand!F167:F168)/1000</f>
        <v>0</v>
      </c>
      <c r="E45" s="740">
        <f>SUM(Drikkevand!G167:G168)/1000</f>
        <v>0</v>
      </c>
      <c r="F45" s="740">
        <f>SUM(Drikkevand!H167:H168)/1000</f>
        <v>0</v>
      </c>
      <c r="G45" s="741">
        <f>SUM(Drikkevand!I167:I168)/1000</f>
        <v>0</v>
      </c>
      <c r="I45" s="966"/>
      <c r="J45" s="315" t="s">
        <v>131</v>
      </c>
      <c r="K45" s="785">
        <f>-Drikkevand!F157</f>
        <v>0</v>
      </c>
      <c r="L45" s="785">
        <f>-Drikkevand!G157</f>
        <v>0</v>
      </c>
      <c r="M45" s="785">
        <f>-Drikkevand!H157</f>
        <v>0</v>
      </c>
      <c r="N45" s="786">
        <f>-Drikkevand!I157</f>
        <v>0</v>
      </c>
    </row>
    <row r="46" spans="2:14" ht="35.25" customHeight="1" thickBot="1" x14ac:dyDescent="0.4">
      <c r="B46" s="292"/>
      <c r="C46" s="293" t="s">
        <v>1403</v>
      </c>
      <c r="D46" s="766" t="str">
        <f>IFERROR((D43+D44)/(D42+D44)*100,"")</f>
        <v/>
      </c>
      <c r="E46" s="766" t="str">
        <f t="shared" ref="E46:F46" si="17">IFERROR((E43+E44)/(E42+E44)*100,"")</f>
        <v/>
      </c>
      <c r="F46" s="766" t="str">
        <f t="shared" si="17"/>
        <v/>
      </c>
      <c r="G46" s="767" t="str">
        <f>IFERROR((G43+G44)/(G42+G44)*100,"")</f>
        <v/>
      </c>
      <c r="I46" s="966"/>
      <c r="J46" s="313" t="s">
        <v>1398</v>
      </c>
      <c r="K46" s="785" cm="1">
        <f t="array" ref="K46">SUM(-Drikkevand!F158:F159)</f>
        <v>0</v>
      </c>
      <c r="L46" s="785" cm="1">
        <f t="array" ref="L46">SUM(-Drikkevand!G158:G159)</f>
        <v>0</v>
      </c>
      <c r="M46" s="785" cm="1">
        <f t="array" ref="M46">SUM(-Drikkevand!H158:H159)</f>
        <v>0</v>
      </c>
      <c r="N46" s="786" cm="1">
        <f t="array" ref="N46">SUM(-Drikkevand!I158:I159)</f>
        <v>0</v>
      </c>
    </row>
    <row r="47" spans="2:14" ht="35.25" customHeight="1" thickBot="1" x14ac:dyDescent="0.4">
      <c r="B47" s="294"/>
      <c r="C47" s="295" t="s">
        <v>1404</v>
      </c>
      <c r="D47" s="768" t="str">
        <f>IFERROR((D43+D44+D45)/(D42+D44)*100,"")</f>
        <v/>
      </c>
      <c r="E47" s="768" t="str">
        <f t="shared" ref="E47:G47" si="18">IFERROR((E43+E44+E45)/(E42+E44)*100,"")</f>
        <v/>
      </c>
      <c r="F47" s="768" t="str">
        <f t="shared" si="18"/>
        <v/>
      </c>
      <c r="G47" s="769" t="str">
        <f t="shared" si="18"/>
        <v/>
      </c>
      <c r="I47" s="146"/>
      <c r="J47" s="147" t="s">
        <v>210</v>
      </c>
      <c r="K47" s="825">
        <f>SUM(K24,K28,K31,K37)</f>
        <v>0</v>
      </c>
      <c r="L47" s="825">
        <f t="shared" ref="L47:N47" si="19">SUM(L24,L28,L31,L37)</f>
        <v>0</v>
      </c>
      <c r="M47" s="825">
        <f t="shared" si="19"/>
        <v>0</v>
      </c>
      <c r="N47" s="791">
        <f t="shared" si="19"/>
        <v>0</v>
      </c>
    </row>
    <row r="48" spans="2:14" ht="35.25" customHeight="1" thickBot="1" x14ac:dyDescent="0.4"/>
    <row r="49" spans="9:14" ht="35.25" customHeight="1" thickBot="1" x14ac:dyDescent="0.4">
      <c r="I49" s="324" t="s">
        <v>221</v>
      </c>
      <c r="J49" s="325"/>
      <c r="K49" s="326">
        <v>2023</v>
      </c>
      <c r="L49" s="326">
        <v>2025</v>
      </c>
      <c r="M49" s="326">
        <f t="shared" ref="M49" si="20">L49+5</f>
        <v>2030</v>
      </c>
      <c r="N49" s="327">
        <f t="shared" ref="N49" si="21">M49+5</f>
        <v>2035</v>
      </c>
    </row>
    <row r="50" spans="9:14" ht="35.25" customHeight="1" thickBot="1" x14ac:dyDescent="0.4">
      <c r="I50" s="329"/>
      <c r="J50" s="330" t="s">
        <v>215</v>
      </c>
      <c r="K50" s="819" t="str">
        <f>IF(K51&lt;0,K51+K37,"ingen ekstern varmepumpe")</f>
        <v>ingen ekstern varmepumpe</v>
      </c>
      <c r="L50" s="819" t="str">
        <f t="shared" ref="L50:N50" si="22">IF(L51&lt;0,L51+L37,"ingen ekstern varmepumpe")</f>
        <v>ingen ekstern varmepumpe</v>
      </c>
      <c r="M50" s="819" t="str">
        <f t="shared" si="22"/>
        <v>ingen ekstern varmepumpe</v>
      </c>
      <c r="N50" s="820" t="str">
        <f t="shared" si="22"/>
        <v>ingen ekstern varmepumpe</v>
      </c>
    </row>
    <row r="51" spans="9:14" ht="35.25" customHeight="1" x14ac:dyDescent="0.35">
      <c r="I51" s="963" t="s">
        <v>217</v>
      </c>
      <c r="J51" s="331" t="s">
        <v>222</v>
      </c>
      <c r="K51" s="803">
        <f>SUM(K52:K53)</f>
        <v>0</v>
      </c>
      <c r="L51" s="803">
        <f t="shared" ref="L51:N51" si="23">SUM(L52:L53)</f>
        <v>0</v>
      </c>
      <c r="M51" s="803">
        <f t="shared" si="23"/>
        <v>0</v>
      </c>
      <c r="N51" s="804">
        <f t="shared" si="23"/>
        <v>0</v>
      </c>
    </row>
    <row r="52" spans="9:14" ht="35.25" customHeight="1" x14ac:dyDescent="0.35">
      <c r="I52" s="964"/>
      <c r="J52" s="756" t="s">
        <v>137</v>
      </c>
      <c r="K52" s="805">
        <f>IFERROR(Drikkevand!F167*Drikkevand!J167,"")</f>
        <v>0</v>
      </c>
      <c r="L52" s="805">
        <f>IFERROR(Drikkevand!G167*Drikkevand!K167,"")</f>
        <v>0</v>
      </c>
      <c r="M52" s="805">
        <f>IFERROR(Drikkevand!H167*Drikkevand!L167,"")</f>
        <v>0</v>
      </c>
      <c r="N52" s="806">
        <f>IFERROR(Drikkevand!I167*Drikkevand!M167,"")</f>
        <v>0</v>
      </c>
    </row>
    <row r="53" spans="9:14" ht="35.25" customHeight="1" thickBot="1" x14ac:dyDescent="0.4">
      <c r="I53" s="965"/>
      <c r="J53" s="328" t="s">
        <v>139</v>
      </c>
      <c r="K53" s="807">
        <f>IFERROR(Drikkevand!F168*Drikkevand!J168,"")</f>
        <v>0</v>
      </c>
      <c r="L53" s="807">
        <f>IFERROR(Drikkevand!G168*Drikkevand!K168,"")</f>
        <v>0</v>
      </c>
      <c r="M53" s="807">
        <f>IFERROR(Drikkevand!H168*Drikkevand!L168,"")</f>
        <v>0</v>
      </c>
      <c r="N53" s="808">
        <f>IFERROR(Drikkevand!I168*Drikkevand!M168,"")</f>
        <v>0</v>
      </c>
    </row>
    <row r="54" spans="9:14" ht="35.25" customHeight="1" thickBot="1" x14ac:dyDescent="0.4">
      <c r="I54" s="148"/>
      <c r="J54" s="149" t="s">
        <v>216</v>
      </c>
      <c r="K54" s="821" t="str">
        <f>IF(K51&lt;0,SUM(K24,K28,K31,K37,K51),"ingen ekstern varmepumpe")</f>
        <v>ingen ekstern varmepumpe</v>
      </c>
      <c r="L54" s="821" t="str">
        <f t="shared" ref="L54:N54" si="24">IF(L51&lt;0,SUM(L24,L28,L31,L37,L51),"ingen ekstern varmepumpe")</f>
        <v>ingen ekstern varmepumpe</v>
      </c>
      <c r="M54" s="821" t="str">
        <f t="shared" si="24"/>
        <v>ingen ekstern varmepumpe</v>
      </c>
      <c r="N54" s="822" t="str">
        <f t="shared" si="24"/>
        <v>ingen ekstern varmepumpe</v>
      </c>
    </row>
    <row r="57" spans="9:14" x14ac:dyDescent="0.35">
      <c r="I57" s="305" t="s">
        <v>1393</v>
      </c>
      <c r="J57" s="305"/>
      <c r="K57" s="306">
        <v>2023</v>
      </c>
      <c r="L57" s="306">
        <v>2025</v>
      </c>
      <c r="M57" s="306">
        <f t="shared" ref="M57" si="25">L57+5</f>
        <v>2030</v>
      </c>
      <c r="N57" s="306">
        <f t="shared" ref="N57" si="26">M57+5</f>
        <v>2035</v>
      </c>
    </row>
    <row r="58" spans="9:14" x14ac:dyDescent="0.35">
      <c r="I58" s="307"/>
      <c r="J58" s="304" t="s">
        <v>1395</v>
      </c>
      <c r="K58" s="308">
        <f>D42</f>
        <v>0</v>
      </c>
      <c r="L58" s="308">
        <f t="shared" ref="L58:N58" si="27">E42</f>
        <v>0</v>
      </c>
      <c r="M58" s="308">
        <f t="shared" si="27"/>
        <v>0</v>
      </c>
      <c r="N58" s="308">
        <f t="shared" si="27"/>
        <v>0</v>
      </c>
    </row>
    <row r="59" spans="9:14" x14ac:dyDescent="0.35">
      <c r="I59" s="309"/>
      <c r="J59" s="304" t="s">
        <v>1396</v>
      </c>
      <c r="K59" s="308">
        <f t="shared" ref="K59:K63" si="28">D43</f>
        <v>0</v>
      </c>
      <c r="L59" s="308">
        <f t="shared" ref="L59:L63" si="29">E43</f>
        <v>0</v>
      </c>
      <c r="M59" s="308">
        <f t="shared" ref="M59:M63" si="30">F43</f>
        <v>0</v>
      </c>
      <c r="N59" s="308">
        <f t="shared" ref="N59:N63" si="31">G43</f>
        <v>0</v>
      </c>
    </row>
    <row r="60" spans="9:14" x14ac:dyDescent="0.35">
      <c r="I60" s="309"/>
      <c r="J60" s="304" t="s">
        <v>1288</v>
      </c>
      <c r="K60" s="308">
        <f t="shared" si="28"/>
        <v>0</v>
      </c>
      <c r="L60" s="308">
        <f t="shared" si="29"/>
        <v>0</v>
      </c>
      <c r="M60" s="308">
        <f t="shared" si="30"/>
        <v>0</v>
      </c>
      <c r="N60" s="308">
        <f t="shared" si="31"/>
        <v>0</v>
      </c>
    </row>
    <row r="61" spans="9:14" x14ac:dyDescent="0.35">
      <c r="I61" s="309"/>
      <c r="J61" s="304" t="s">
        <v>1397</v>
      </c>
      <c r="K61" s="308">
        <f t="shared" si="28"/>
        <v>0</v>
      </c>
      <c r="L61" s="308">
        <f t="shared" si="29"/>
        <v>0</v>
      </c>
      <c r="M61" s="308">
        <f t="shared" si="30"/>
        <v>0</v>
      </c>
      <c r="N61" s="308">
        <f t="shared" si="31"/>
        <v>0</v>
      </c>
    </row>
    <row r="62" spans="9:14" x14ac:dyDescent="0.35">
      <c r="I62" s="309"/>
      <c r="J62" s="304" t="s">
        <v>1403</v>
      </c>
      <c r="K62" s="308" t="str">
        <f t="shared" si="28"/>
        <v/>
      </c>
      <c r="L62" s="308" t="str">
        <f t="shared" si="29"/>
        <v/>
      </c>
      <c r="M62" s="308" t="str">
        <f t="shared" si="30"/>
        <v/>
      </c>
      <c r="N62" s="308" t="str">
        <f t="shared" si="31"/>
        <v/>
      </c>
    </row>
    <row r="63" spans="9:14" x14ac:dyDescent="0.35">
      <c r="I63" s="309"/>
      <c r="J63" s="304" t="s">
        <v>1404</v>
      </c>
      <c r="K63" s="308" t="str">
        <f t="shared" si="28"/>
        <v/>
      </c>
      <c r="L63" s="308" t="str">
        <f t="shared" si="29"/>
        <v/>
      </c>
      <c r="M63" s="308" t="str">
        <f t="shared" si="30"/>
        <v/>
      </c>
      <c r="N63" s="308" t="str">
        <f t="shared" si="31"/>
        <v/>
      </c>
    </row>
  </sheetData>
  <sheetProtection algorithmName="SHA-512" hashValue="nEB/Kz0XQA52q6W8IyCoAJlQUs2iQOobAVjp+TmkaoXhF8EKn8yPW9Tm8gbl4yxEQ3RsDhV4FArUAiJuwkwhBA==" saltValue="HS0sLbUbRMTJdlGkHpHZ8A==" spinCount="100000" sheet="1" formatCells="0"/>
  <mergeCells count="6">
    <mergeCell ref="P23:R25"/>
    <mergeCell ref="I51:I53"/>
    <mergeCell ref="I25:I27"/>
    <mergeCell ref="I29:I30"/>
    <mergeCell ref="I38:I46"/>
    <mergeCell ref="I32:I36"/>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3B74F-FBF2-432C-8F50-A9A402580F6F}">
  <sheetPr codeName="Sheet7">
    <tabColor theme="7" tint="-0.249977111117893"/>
  </sheetPr>
  <dimension ref="B1:R49"/>
  <sheetViews>
    <sheetView showGridLines="0" topLeftCell="A13" zoomScale="70" zoomScaleNormal="70" workbookViewId="0">
      <selection activeCell="K41" sqref="K41"/>
    </sheetView>
  </sheetViews>
  <sheetFormatPr defaultRowHeight="14.5" x14ac:dyDescent="0.35"/>
  <cols>
    <col min="2" max="2" width="16" customWidth="1"/>
    <col min="3" max="3" width="41.54296875" customWidth="1"/>
    <col min="4" max="7" width="12.54296875" customWidth="1"/>
    <col min="9" max="9" width="13.54296875" customWidth="1"/>
    <col min="10" max="10" width="43.54296875" customWidth="1"/>
    <col min="11" max="14" width="12.54296875" customWidth="1"/>
  </cols>
  <sheetData>
    <row r="1" spans="2:6" ht="32" x14ac:dyDescent="0.7">
      <c r="C1" s="116" t="s">
        <v>223</v>
      </c>
      <c r="D1" s="117"/>
    </row>
    <row r="2" spans="2:6" ht="32" x14ac:dyDescent="0.7">
      <c r="B2" s="118" t="s">
        <v>30</v>
      </c>
      <c r="C2" s="119"/>
      <c r="D2" s="119" t="str">
        <f>Basisoplysninger!B7</f>
        <v>Vælg selskab (drop down)</v>
      </c>
      <c r="F2" s="119"/>
    </row>
    <row r="3" spans="2:6" ht="30" customHeight="1" x14ac:dyDescent="0.35">
      <c r="C3" s="7" t="e">
        <f>INDEX(rSPV!A10:A111,MATCH(Renseanlæg!C2,rSPV!B10:B111,0))</f>
        <v>#N/A</v>
      </c>
    </row>
    <row r="4" spans="2:6" ht="45" customHeight="1" x14ac:dyDescent="0.35"/>
    <row r="5" spans="2:6" ht="45" customHeight="1" x14ac:dyDescent="0.35"/>
    <row r="6" spans="2:6" ht="45" customHeight="1" x14ac:dyDescent="0.35"/>
    <row r="7" spans="2:6" ht="25.15" customHeight="1" x14ac:dyDescent="0.35"/>
    <row r="8" spans="2:6" ht="25.15" customHeight="1" x14ac:dyDescent="0.35"/>
    <row r="9" spans="2:6" ht="25.15" customHeight="1" x14ac:dyDescent="0.35"/>
    <row r="10" spans="2:6" ht="25.15" customHeight="1" x14ac:dyDescent="0.35"/>
    <row r="11" spans="2:6" ht="25.15" customHeight="1" x14ac:dyDescent="0.35"/>
    <row r="12" spans="2:6" ht="25.15" customHeight="1" x14ac:dyDescent="0.35"/>
    <row r="13" spans="2:6" ht="25.15" customHeight="1" x14ac:dyDescent="0.35"/>
    <row r="14" spans="2:6" ht="25.15" customHeight="1" x14ac:dyDescent="0.35"/>
    <row r="15" spans="2:6" ht="25.15" customHeight="1" x14ac:dyDescent="0.35"/>
    <row r="16" spans="2:6" ht="25.15" customHeight="1" x14ac:dyDescent="0.35"/>
    <row r="17" spans="2:18" ht="25.15" customHeight="1" x14ac:dyDescent="0.35"/>
    <row r="18" spans="2:18" ht="25.15" customHeight="1" x14ac:dyDescent="0.35"/>
    <row r="19" spans="2:18" ht="25.15" customHeight="1" x14ac:dyDescent="0.35"/>
    <row r="20" spans="2:18" ht="25.15" customHeight="1" x14ac:dyDescent="0.35"/>
    <row r="21" spans="2:18" ht="25.15" customHeight="1" x14ac:dyDescent="0.35"/>
    <row r="22" spans="2:18" ht="25.15" customHeight="1" thickBot="1" x14ac:dyDescent="0.4"/>
    <row r="23" spans="2:18" ht="35.25" customHeight="1" thickBot="1" x14ac:dyDescent="0.4">
      <c r="B23" s="842" t="s">
        <v>1405</v>
      </c>
      <c r="C23" s="843"/>
      <c r="D23" s="844">
        <v>2023</v>
      </c>
      <c r="E23" s="845">
        <v>2025</v>
      </c>
      <c r="F23" s="844">
        <f t="shared" ref="F23:G23" si="0">E23+5</f>
        <v>2030</v>
      </c>
      <c r="G23" s="846">
        <f t="shared" si="0"/>
        <v>2035</v>
      </c>
      <c r="I23" s="131" t="s">
        <v>1400</v>
      </c>
      <c r="J23" s="132"/>
      <c r="K23" s="133">
        <v>2023</v>
      </c>
      <c r="L23" s="133">
        <v>2025</v>
      </c>
      <c r="M23" s="133">
        <f t="shared" ref="M23:N23" si="1">L23+5</f>
        <v>2030</v>
      </c>
      <c r="N23" s="134">
        <f t="shared" si="1"/>
        <v>2035</v>
      </c>
      <c r="P23" s="954" t="s">
        <v>1516</v>
      </c>
      <c r="Q23" s="955"/>
      <c r="R23" s="956"/>
    </row>
    <row r="24" spans="2:18" ht="35.25" customHeight="1" x14ac:dyDescent="0.35">
      <c r="B24" s="278"/>
      <c r="C24" s="847" t="s">
        <v>203</v>
      </c>
      <c r="D24" s="848">
        <f>K24</f>
        <v>0</v>
      </c>
      <c r="E24" s="848">
        <f t="shared" ref="E24:G24" si="2">L24</f>
        <v>0</v>
      </c>
      <c r="F24" s="848">
        <f t="shared" si="2"/>
        <v>0</v>
      </c>
      <c r="G24" s="849">
        <f t="shared" si="2"/>
        <v>0</v>
      </c>
      <c r="I24" s="135"/>
      <c r="J24" s="132" t="s">
        <v>203</v>
      </c>
      <c r="K24" s="151">
        <f>SUM(K25:K26)</f>
        <v>0</v>
      </c>
      <c r="L24" s="151">
        <f t="shared" ref="L24:N24" si="3">SUM(L25:L26)</f>
        <v>0</v>
      </c>
      <c r="M24" s="151">
        <f t="shared" si="3"/>
        <v>0</v>
      </c>
      <c r="N24" s="152">
        <f t="shared" si="3"/>
        <v>0</v>
      </c>
      <c r="P24" s="957"/>
      <c r="Q24" s="958"/>
      <c r="R24" s="959"/>
    </row>
    <row r="25" spans="2:18" ht="35.25" customHeight="1" thickBot="1" x14ac:dyDescent="0.4">
      <c r="B25" s="281"/>
      <c r="C25" s="282" t="s">
        <v>204</v>
      </c>
      <c r="D25" s="850">
        <f>K27</f>
        <v>0</v>
      </c>
      <c r="E25" s="850">
        <f t="shared" ref="E25:G25" si="4">L27</f>
        <v>0</v>
      </c>
      <c r="F25" s="850">
        <f t="shared" si="4"/>
        <v>0</v>
      </c>
      <c r="G25" s="851">
        <f t="shared" si="4"/>
        <v>0</v>
      </c>
      <c r="I25" s="966" t="s">
        <v>182</v>
      </c>
      <c r="J25" s="311" t="s">
        <v>205</v>
      </c>
      <c r="K25" s="770">
        <f>SUM(Afløb!F33*Afløb!J33,Afløb!F35*Afløb!J35,Afløb!F36*Afløb!J36,Afløb!F37*Afløb!$K$37,Afløb!F39*Afløb!J39,Afløb!F40*Afløb!J40,Afløb!F41*Afløb!J41)</f>
        <v>0</v>
      </c>
      <c r="L25" s="770">
        <f>SUM(Afløb!G33*Afløb!K33,Afløb!G35*Afløb!K35,Afløb!G36*Afløb!K36,Afløb!G37*Afløb!$K$37,Afløb!G39*Afløb!K39,Afløb!G40*Afløb!K40,Afløb!G41*Afløb!K41)</f>
        <v>0</v>
      </c>
      <c r="M25" s="770">
        <f>SUM(Afløb!H33*Afløb!L33,Afløb!H35*Afløb!L35,Afløb!H36*Afløb!L36,Afløb!H37*Afløb!$K$37,Afløb!H39*Afløb!L39,Afløb!H40*Afløb!L40,Afløb!H41*Afløb!L41)</f>
        <v>0</v>
      </c>
      <c r="N25" s="771">
        <f>SUM(Afløb!I33*Afløb!M33,Afløb!I35*Afløb!M35,Afløb!I36*Afløb!M36,Afløb!I37*Afløb!$K$37,Afløb!I39*Afløb!M39,Afløb!I40*Afløb!M40,Afløb!I41*Afløb!M41)</f>
        <v>0</v>
      </c>
      <c r="P25" s="960"/>
      <c r="Q25" s="961"/>
      <c r="R25" s="962"/>
    </row>
    <row r="26" spans="2:18" ht="35.25" customHeight="1" x14ac:dyDescent="0.35">
      <c r="B26" s="281"/>
      <c r="C26" s="282" t="s">
        <v>206</v>
      </c>
      <c r="D26" s="850">
        <f>K30</f>
        <v>0</v>
      </c>
      <c r="E26" s="850">
        <f t="shared" ref="E26:G26" si="5">L30</f>
        <v>0</v>
      </c>
      <c r="F26" s="850">
        <f t="shared" si="5"/>
        <v>0</v>
      </c>
      <c r="G26" s="851">
        <f t="shared" si="5"/>
        <v>0</v>
      </c>
      <c r="I26" s="967"/>
      <c r="J26" s="139" t="s">
        <v>209</v>
      </c>
      <c r="K26" s="770">
        <f>IFERROR(SUM(Afløb!F47*Afløb!J47,Afløb!F48*Afløb!J48),"")</f>
        <v>0</v>
      </c>
      <c r="L26" s="770">
        <f>IFERROR(SUM(Afløb!G47*Afløb!K47,Afløb!G48*Afløb!K48),"")</f>
        <v>0</v>
      </c>
      <c r="M26" s="770">
        <f>IFERROR(SUM(Afløb!H47*Afløb!L47,Afløb!H48*Afløb!L48),"")</f>
        <v>0</v>
      </c>
      <c r="N26" s="771">
        <f>IFERROR(SUM(Afløb!I47*Afløb!M47,Afløb!I48*Afløb!M48),"")</f>
        <v>0</v>
      </c>
    </row>
    <row r="27" spans="2:18" ht="35.25" customHeight="1" thickBot="1" x14ac:dyDescent="0.4">
      <c r="B27" s="281"/>
      <c r="C27" s="282" t="s">
        <v>224</v>
      </c>
      <c r="D27" s="852">
        <f>K36</f>
        <v>0</v>
      </c>
      <c r="E27" s="852">
        <f t="shared" ref="E27:G27" si="6">L36</f>
        <v>0</v>
      </c>
      <c r="F27" s="852">
        <f t="shared" si="6"/>
        <v>0</v>
      </c>
      <c r="G27" s="853">
        <f t="shared" si="6"/>
        <v>0</v>
      </c>
      <c r="I27" s="137"/>
      <c r="J27" s="296" t="s">
        <v>211</v>
      </c>
      <c r="K27" s="779">
        <f>SUM(K28:K29)</f>
        <v>0</v>
      </c>
      <c r="L27" s="779">
        <f t="shared" ref="L27:N27" si="7">SUM(L28:L29)</f>
        <v>0</v>
      </c>
      <c r="M27" s="779">
        <f t="shared" si="7"/>
        <v>0</v>
      </c>
      <c r="N27" s="780">
        <f t="shared" si="7"/>
        <v>0</v>
      </c>
    </row>
    <row r="28" spans="2:18" ht="35.25" customHeight="1" thickBot="1" x14ac:dyDescent="0.4">
      <c r="B28" s="854"/>
      <c r="C28" s="855" t="s">
        <v>225</v>
      </c>
      <c r="D28" s="856">
        <f>K43</f>
        <v>0</v>
      </c>
      <c r="E28" s="856">
        <f t="shared" ref="E28:G28" si="8">L43</f>
        <v>0</v>
      </c>
      <c r="F28" s="856">
        <f t="shared" si="8"/>
        <v>0</v>
      </c>
      <c r="G28" s="857">
        <f t="shared" si="8"/>
        <v>0</v>
      </c>
      <c r="I28" s="966" t="s">
        <v>212</v>
      </c>
      <c r="J28" s="138" t="s">
        <v>87</v>
      </c>
      <c r="K28" s="770">
        <f>IFERROR(Afløb!F62*Afløb!J62,"")</f>
        <v>0</v>
      </c>
      <c r="L28" s="770">
        <f>IFERROR(Afløb!G62*Afløb!K62,"")</f>
        <v>0</v>
      </c>
      <c r="M28" s="770">
        <f>IFERROR(Afløb!H62*Afløb!L62,"")</f>
        <v>0</v>
      </c>
      <c r="N28" s="771">
        <f>IFERROR(Afløb!I62*Afløb!M62,"")</f>
        <v>0</v>
      </c>
    </row>
    <row r="29" spans="2:18" ht="35.25" customHeight="1" x14ac:dyDescent="0.35">
      <c r="I29" s="967"/>
      <c r="J29" s="141" t="s">
        <v>40</v>
      </c>
      <c r="K29" s="770">
        <f>IFERROR(Afløb!F56*Afløb!J56,"")</f>
        <v>0</v>
      </c>
      <c r="L29" s="770">
        <f>IFERROR(Afløb!G56*Afløb!K56,"")</f>
        <v>0</v>
      </c>
      <c r="M29" s="770">
        <f>IFERROR(Afløb!H56*Afløb!L56,"")</f>
        <v>0</v>
      </c>
      <c r="N29" s="771">
        <f>IFERROR(Afløb!I56*Afløb!M56,"")</f>
        <v>0</v>
      </c>
    </row>
    <row r="30" spans="2:18" ht="35.25" customHeight="1" x14ac:dyDescent="0.35">
      <c r="I30" s="153"/>
      <c r="J30" s="296" t="s">
        <v>213</v>
      </c>
      <c r="K30" s="779">
        <f>SUM(K31:K35)</f>
        <v>0</v>
      </c>
      <c r="L30" s="779">
        <f t="shared" ref="L30:N30" si="9">SUM(L31:L35)</f>
        <v>0</v>
      </c>
      <c r="M30" s="779">
        <f t="shared" si="9"/>
        <v>0</v>
      </c>
      <c r="N30" s="780">
        <f t="shared" si="9"/>
        <v>0</v>
      </c>
    </row>
    <row r="31" spans="2:18" ht="35.25" customHeight="1" x14ac:dyDescent="0.35">
      <c r="B31" s="296"/>
      <c r="C31" s="296"/>
      <c r="D31" s="122"/>
      <c r="E31" s="122"/>
      <c r="F31" s="122"/>
      <c r="G31" s="122"/>
      <c r="I31" s="966" t="s">
        <v>183</v>
      </c>
      <c r="J31" s="138" t="s">
        <v>214</v>
      </c>
      <c r="K31" s="319" cm="1">
        <f t="array" ref="K31">SUM(Afløb!F82:F87*Afløb!$K$82:$K$87)</f>
        <v>0</v>
      </c>
      <c r="L31" s="319" cm="1">
        <f t="array" ref="L31">SUM(Afløb!G82:G87*Afløb!$K$82:$K$87)</f>
        <v>0</v>
      </c>
      <c r="M31" s="319" cm="1">
        <f t="array" ref="M31">SUM(Afløb!H82:H87*Afløb!$K$82:$K$87)</f>
        <v>0</v>
      </c>
      <c r="N31" s="320" cm="1">
        <f t="array" ref="N31">SUM(Afløb!I82:I87*Afløb!$K$82:$K$87)</f>
        <v>0</v>
      </c>
    </row>
    <row r="32" spans="2:18" ht="35.25" customHeight="1" x14ac:dyDescent="0.35">
      <c r="B32" s="297"/>
      <c r="C32" s="273"/>
      <c r="D32" s="272"/>
      <c r="E32" s="272"/>
      <c r="F32" s="272"/>
      <c r="G32" s="272"/>
      <c r="I32" s="966"/>
      <c r="J32" s="138" t="s">
        <v>1211</v>
      </c>
      <c r="K32" s="770" cm="1">
        <f t="array" ref="K32">(SUM(Afløb!F94:F96*Afløb!J94:J96,Afløb!F98:F100*Afløb!J98:J100,Afløb!F97*Afløb!$K$97))</f>
        <v>0</v>
      </c>
      <c r="L32" s="770" cm="1">
        <f t="array" ref="L32">(SUM(Afløb!G94:G96*Afløb!K94:K96,Afløb!G98:G100*Afløb!K98:K100,Afløb!G97*Afløb!$K$97))</f>
        <v>0</v>
      </c>
      <c r="M32" s="770" cm="1">
        <f t="array" ref="M32">(SUM(Afløb!H94:H96*Afløb!L94:L96,Afløb!H98:H100*Afløb!L98:L100,Afløb!H97*Afløb!$K$97))</f>
        <v>0</v>
      </c>
      <c r="N32" s="771" cm="1">
        <f t="array" ref="N32">(SUM(Afløb!I94:I96*Afløb!M94:M96,Afløb!I98:I100*Afløb!M98:M100,Afløb!I97*Afløb!$K$97))</f>
        <v>0</v>
      </c>
    </row>
    <row r="33" spans="2:14" ht="35.25" customHeight="1" x14ac:dyDescent="0.35">
      <c r="C33" s="143"/>
      <c r="D33" s="272"/>
      <c r="E33" s="272"/>
      <c r="F33" s="272"/>
      <c r="G33" s="272"/>
      <c r="I33" s="966"/>
      <c r="J33" s="138" t="s">
        <v>1208</v>
      </c>
      <c r="K33" s="770" cm="1">
        <f t="array" ref="K33">IFERROR(SUM(Afløb!F102:F103*Afløb!J102:J103),"")</f>
        <v>0</v>
      </c>
      <c r="L33" s="770" cm="1">
        <f t="array" ref="L33">IFERROR(SUM(Afløb!G102:G103*Afløb!K102:K103),"")</f>
        <v>0</v>
      </c>
      <c r="M33" s="770" cm="1">
        <f t="array" ref="M33">IFERROR(SUM(Afløb!H102:H103*Afløb!L102:L103),"")</f>
        <v>0</v>
      </c>
      <c r="N33" s="771" cm="1">
        <f t="array" ref="N33">IFERROR(SUM(Afløb!I102:I103*Afløb!M102:M103),"")</f>
        <v>0</v>
      </c>
    </row>
    <row r="34" spans="2:14" ht="35.25" customHeight="1" x14ac:dyDescent="0.35">
      <c r="C34" s="143"/>
      <c r="D34" s="272"/>
      <c r="E34" s="272"/>
      <c r="F34" s="272"/>
      <c r="G34" s="272"/>
      <c r="I34" s="966"/>
      <c r="J34" s="138" t="s">
        <v>1209</v>
      </c>
      <c r="K34" s="770">
        <f>IFERROR(Afløb!F105*Afløb!J105,"")</f>
        <v>0</v>
      </c>
      <c r="L34" s="770">
        <f>IFERROR(Afløb!G105*Afløb!K105,"")</f>
        <v>0</v>
      </c>
      <c r="M34" s="770">
        <f>IFERROR(Afløb!H105*Afløb!L105,"")</f>
        <v>0</v>
      </c>
      <c r="N34" s="771">
        <f>IFERROR(Afløb!I105*Afløb!M105,"")</f>
        <v>0</v>
      </c>
    </row>
    <row r="35" spans="2:14" ht="35.25" customHeight="1" x14ac:dyDescent="0.35">
      <c r="C35" s="143"/>
      <c r="D35" s="272"/>
      <c r="E35" s="272"/>
      <c r="F35" s="272"/>
      <c r="G35" s="272"/>
      <c r="I35" s="967"/>
      <c r="J35" s="139" t="s">
        <v>1210</v>
      </c>
      <c r="K35" s="812">
        <f>IFERROR(Afløb!F104*Afløb!J104,"")</f>
        <v>0</v>
      </c>
      <c r="L35" s="812">
        <f>IFERROR(Afløb!G104*Afløb!K104,"")</f>
        <v>0</v>
      </c>
      <c r="M35" s="812">
        <f>IFERROR(Afløb!H104*Afløb!L104,"")</f>
        <v>0</v>
      </c>
      <c r="N35" s="813">
        <f>IFERROR(Afløb!I104*Afløb!M104,"")</f>
        <v>0</v>
      </c>
    </row>
    <row r="36" spans="2:14" ht="35.25" customHeight="1" x14ac:dyDescent="0.35">
      <c r="C36" s="143"/>
      <c r="D36" s="272"/>
      <c r="E36" s="272"/>
      <c r="F36" s="272"/>
      <c r="G36" s="272"/>
      <c r="I36" s="301"/>
      <c r="J36" s="296" t="s">
        <v>226</v>
      </c>
      <c r="K36" s="814">
        <f>SUM(K37,K39)</f>
        <v>0</v>
      </c>
      <c r="L36" s="814">
        <f t="shared" ref="L36:N36" si="10">SUM(L37,L39)</f>
        <v>0</v>
      </c>
      <c r="M36" s="814">
        <f t="shared" si="10"/>
        <v>0</v>
      </c>
      <c r="N36" s="815">
        <f t="shared" si="10"/>
        <v>0</v>
      </c>
    </row>
    <row r="37" spans="2:14" ht="35.25" customHeight="1" thickBot="1" x14ac:dyDescent="0.4">
      <c r="I37" s="966" t="s">
        <v>217</v>
      </c>
      <c r="J37" s="312" t="s">
        <v>227</v>
      </c>
      <c r="K37" s="783">
        <f>IFERROR(SUM(K38:K38),"")</f>
        <v>0</v>
      </c>
      <c r="L37" s="783">
        <f t="shared" ref="L37:N37" si="11">IFERROR(SUM(L38:L38),"")</f>
        <v>0</v>
      </c>
      <c r="M37" s="783">
        <f t="shared" si="11"/>
        <v>0</v>
      </c>
      <c r="N37" s="784">
        <f t="shared" si="11"/>
        <v>0</v>
      </c>
    </row>
    <row r="38" spans="2:14" ht="35.25" customHeight="1" thickBot="1" x14ac:dyDescent="0.4">
      <c r="B38" s="286" t="s">
        <v>1401</v>
      </c>
      <c r="C38" s="287"/>
      <c r="D38" s="288">
        <v>2023</v>
      </c>
      <c r="E38" s="288">
        <v>2025</v>
      </c>
      <c r="F38" s="288">
        <f t="shared" ref="F38:G38" si="12">E38+5</f>
        <v>2030</v>
      </c>
      <c r="G38" s="289">
        <f t="shared" si="12"/>
        <v>2035</v>
      </c>
      <c r="I38" s="966"/>
      <c r="J38" s="313" t="s">
        <v>1412</v>
      </c>
      <c r="K38" s="816">
        <f>-SUM(Afløb!F113:F114)</f>
        <v>0</v>
      </c>
      <c r="L38" s="816">
        <f>-SUM(Afløb!G113:G114)</f>
        <v>0</v>
      </c>
      <c r="M38" s="816">
        <f>-SUM(Afløb!H113:H114)</f>
        <v>0</v>
      </c>
      <c r="N38" s="788">
        <f>-SUM(Afløb!I113:I114)</f>
        <v>0</v>
      </c>
    </row>
    <row r="39" spans="2:14" ht="35.25" customHeight="1" x14ac:dyDescent="0.35">
      <c r="B39" s="290"/>
      <c r="C39" s="752" t="s">
        <v>1395</v>
      </c>
      <c r="D39" s="762">
        <f>SUM(Afløb!F31,Afløb!F62)/1000</f>
        <v>0</v>
      </c>
      <c r="E39" s="762">
        <f>SUM(Afløb!G31,Afløb!G62)/1000</f>
        <v>0</v>
      </c>
      <c r="F39" s="762">
        <f>SUM(Afløb!H31,Afløb!H62)/1000</f>
        <v>0</v>
      </c>
      <c r="G39" s="763">
        <f>SUM(Afløb!I31,Afløb!I62)/1000</f>
        <v>0</v>
      </c>
      <c r="I39" s="966"/>
      <c r="J39" s="314" t="s">
        <v>228</v>
      </c>
      <c r="K39" s="789">
        <f>IFERROR(SUM(K40:K42),"")</f>
        <v>0</v>
      </c>
      <c r="L39" s="789">
        <f t="shared" ref="L39:N39" si="13">IFERROR(SUM(L40:L42),"")</f>
        <v>0</v>
      </c>
      <c r="M39" s="789">
        <f t="shared" si="13"/>
        <v>0</v>
      </c>
      <c r="N39" s="790">
        <f t="shared" si="13"/>
        <v>0</v>
      </c>
    </row>
    <row r="40" spans="2:14" ht="35.25" customHeight="1" x14ac:dyDescent="0.35">
      <c r="B40" s="291"/>
      <c r="C40" s="753" t="s">
        <v>1396</v>
      </c>
      <c r="D40" s="764">
        <f>SUM(Afløb!F122:F123)/1000</f>
        <v>0</v>
      </c>
      <c r="E40" s="764">
        <f>SUM(Afløb!G122:G123)/1000</f>
        <v>0</v>
      </c>
      <c r="F40" s="764">
        <f>SUM(Afløb!H122:H123)/1000</f>
        <v>0</v>
      </c>
      <c r="G40" s="765">
        <f>SUM(Afløb!I122:I123)/1000</f>
        <v>0</v>
      </c>
      <c r="I40" s="966"/>
      <c r="J40" s="313" t="s">
        <v>220</v>
      </c>
      <c r="K40" s="785">
        <f>(Afløb!F122*Afløb!J122)</f>
        <v>0</v>
      </c>
      <c r="L40" s="785">
        <f>(Afløb!G122*Afløb!K122)</f>
        <v>0</v>
      </c>
      <c r="M40" s="785">
        <f>(Afløb!H122*Afløb!L122)</f>
        <v>0</v>
      </c>
      <c r="N40" s="786">
        <f>(Afløb!I122*Afløb!M122)</f>
        <v>0</v>
      </c>
    </row>
    <row r="41" spans="2:14" ht="35.25" customHeight="1" thickBot="1" x14ac:dyDescent="0.4">
      <c r="B41" s="291"/>
      <c r="C41" s="753" t="s">
        <v>1288</v>
      </c>
      <c r="D41" s="764">
        <f>SUM(Afløb!F70:F71)/1000</f>
        <v>0</v>
      </c>
      <c r="E41" s="764">
        <f>SUM(Afløb!G70:G71)/1000</f>
        <v>0</v>
      </c>
      <c r="F41" s="764">
        <f>SUM(Afløb!H70:H71)/1000</f>
        <v>0</v>
      </c>
      <c r="G41" s="765">
        <f>SUM(Afløb!I70:I71)/1000</f>
        <v>0</v>
      </c>
      <c r="I41" s="966"/>
      <c r="J41" s="315" t="s">
        <v>1413</v>
      </c>
      <c r="K41" s="785">
        <f>IFERROR(Afløb!F123*Afløb!J123,"")</f>
        <v>0</v>
      </c>
      <c r="L41" s="785">
        <f>IFERROR(Afløb!G123*Afløb!K123,"")</f>
        <v>0</v>
      </c>
      <c r="M41" s="785">
        <f>IFERROR(Afløb!H123*Afløb!L123,"")</f>
        <v>0</v>
      </c>
      <c r="N41" s="786">
        <f>IFERROR(Afløb!I123*Afløb!M123,"")</f>
        <v>0</v>
      </c>
    </row>
    <row r="42" spans="2:14" ht="35.25" customHeight="1" thickBot="1" x14ac:dyDescent="0.4">
      <c r="B42" s="316"/>
      <c r="C42" s="317" t="s">
        <v>1402</v>
      </c>
      <c r="D42" s="810" t="str">
        <f>IFERROR((D41+D40)/(D41+D39)*100,"")</f>
        <v/>
      </c>
      <c r="E42" s="810" t="str">
        <f t="shared" ref="E42:G42" si="14">IFERROR((E41+E40)/(E41+E39)*100,"")</f>
        <v/>
      </c>
      <c r="F42" s="810" t="str">
        <f t="shared" si="14"/>
        <v/>
      </c>
      <c r="G42" s="811" t="str">
        <f t="shared" si="14"/>
        <v/>
      </c>
      <c r="I42" s="968"/>
      <c r="J42" s="313" t="s">
        <v>130</v>
      </c>
      <c r="K42" s="785">
        <f>-SUM(Afløb!F129:F130)</f>
        <v>0</v>
      </c>
      <c r="L42" s="785">
        <f>-SUM(Afløb!G129:G130)</f>
        <v>0</v>
      </c>
      <c r="M42" s="785">
        <f>-SUM(Afløb!H129:H130)</f>
        <v>0</v>
      </c>
      <c r="N42" s="786">
        <f>-SUM(Afløb!I129:I130)</f>
        <v>0</v>
      </c>
    </row>
    <row r="43" spans="2:14" ht="35.25" customHeight="1" thickBot="1" x14ac:dyDescent="0.4">
      <c r="I43" s="318"/>
      <c r="J43" s="147" t="s">
        <v>225</v>
      </c>
      <c r="K43" s="817">
        <f>SUM(K24,K27,K30,K36)</f>
        <v>0</v>
      </c>
      <c r="L43" s="817">
        <f t="shared" ref="L43:N43" si="15">SUM(L24,L27,L30,L36)</f>
        <v>0</v>
      </c>
      <c r="M43" s="817">
        <f t="shared" si="15"/>
        <v>0</v>
      </c>
      <c r="N43" s="818">
        <f t="shared" si="15"/>
        <v>0</v>
      </c>
    </row>
    <row r="44" spans="2:14" ht="35.25" customHeight="1" x14ac:dyDescent="0.35">
      <c r="B44" s="298"/>
      <c r="C44" s="299"/>
      <c r="D44" s="300"/>
      <c r="E44" s="300"/>
      <c r="F44" s="300"/>
      <c r="G44" s="300"/>
      <c r="I44" s="155"/>
    </row>
    <row r="45" spans="2:14" ht="35.25" customHeight="1" x14ac:dyDescent="0.35">
      <c r="I45" s="305" t="s">
        <v>1401</v>
      </c>
      <c r="J45" s="305"/>
      <c r="K45" s="306">
        <v>2023</v>
      </c>
      <c r="L45" s="306">
        <v>2025</v>
      </c>
      <c r="M45" s="306">
        <f t="shared" ref="M45" si="16">L45+5</f>
        <v>2030</v>
      </c>
      <c r="N45" s="306">
        <f t="shared" ref="N45" si="17">M45+5</f>
        <v>2035</v>
      </c>
    </row>
    <row r="46" spans="2:14" ht="35.25" customHeight="1" x14ac:dyDescent="0.35">
      <c r="I46" s="307"/>
      <c r="J46" s="304" t="s">
        <v>1395</v>
      </c>
      <c r="K46" s="308">
        <f>D39</f>
        <v>0</v>
      </c>
      <c r="L46" s="308">
        <f t="shared" ref="L46:N46" si="18">E39</f>
        <v>0</v>
      </c>
      <c r="M46" s="308">
        <f t="shared" si="18"/>
        <v>0</v>
      </c>
      <c r="N46" s="308">
        <f t="shared" si="18"/>
        <v>0</v>
      </c>
    </row>
    <row r="47" spans="2:14" ht="35.25" customHeight="1" x14ac:dyDescent="0.35">
      <c r="I47" s="309"/>
      <c r="J47" s="304" t="s">
        <v>1396</v>
      </c>
      <c r="K47" s="308">
        <f t="shared" ref="K47:K49" si="19">D40</f>
        <v>0</v>
      </c>
      <c r="L47" s="308">
        <f t="shared" ref="L47:L49" si="20">E40</f>
        <v>0</v>
      </c>
      <c r="M47" s="308">
        <f t="shared" ref="M47:M49" si="21">F40</f>
        <v>0</v>
      </c>
      <c r="N47" s="308">
        <f t="shared" ref="N47:N49" si="22">G40</f>
        <v>0</v>
      </c>
    </row>
    <row r="48" spans="2:14" ht="35.25" customHeight="1" x14ac:dyDescent="0.35">
      <c r="I48" s="309"/>
      <c r="J48" s="304" t="s">
        <v>1288</v>
      </c>
      <c r="K48" s="308">
        <f t="shared" si="19"/>
        <v>0</v>
      </c>
      <c r="L48" s="308">
        <f t="shared" si="20"/>
        <v>0</v>
      </c>
      <c r="M48" s="308">
        <f t="shared" si="21"/>
        <v>0</v>
      </c>
      <c r="N48" s="308">
        <f t="shared" si="22"/>
        <v>0</v>
      </c>
    </row>
    <row r="49" spans="9:14" x14ac:dyDescent="0.35">
      <c r="I49" s="309"/>
      <c r="J49" s="304" t="s">
        <v>1402</v>
      </c>
      <c r="K49" s="308" t="str">
        <f t="shared" si="19"/>
        <v/>
      </c>
      <c r="L49" s="308" t="str">
        <f t="shared" si="20"/>
        <v/>
      </c>
      <c r="M49" s="308" t="str">
        <f t="shared" si="21"/>
        <v/>
      </c>
      <c r="N49" s="308" t="str">
        <f t="shared" si="22"/>
        <v/>
      </c>
    </row>
  </sheetData>
  <sheetProtection algorithmName="SHA-512" hashValue="nMxgF1B7k2EAjLAHpwa0ZBFHruMAaF7K33RB6Op0/Aw7mKqmqja6WuvNtIblZtyTLUbZYcz+9CrPftGRAFvvtg==" saltValue="2DkI3otTukSm0282CD4Jdw==" spinCount="100000" sheet="1" formatCells="0"/>
  <mergeCells count="5">
    <mergeCell ref="P23:R25"/>
    <mergeCell ref="I25:I26"/>
    <mergeCell ref="I28:I29"/>
    <mergeCell ref="I31:I35"/>
    <mergeCell ref="I37:I42"/>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92469-B788-4865-BCBB-566D14E15F02}">
  <sheetPr codeName="Sheet10">
    <tabColor theme="7" tint="-0.249977111117893"/>
  </sheetPr>
  <dimension ref="B1:R92"/>
  <sheetViews>
    <sheetView showGridLines="0" topLeftCell="A36" zoomScale="70" zoomScaleNormal="70" workbookViewId="0">
      <selection activeCell="F27" sqref="F27"/>
    </sheetView>
  </sheetViews>
  <sheetFormatPr defaultRowHeight="14.5" x14ac:dyDescent="0.35"/>
  <cols>
    <col min="2" max="2" width="11.7265625" customWidth="1"/>
    <col min="3" max="3" width="43.54296875" customWidth="1"/>
    <col min="4" max="7" width="12.54296875" customWidth="1"/>
    <col min="9" max="9" width="13.7265625" customWidth="1"/>
    <col min="10" max="10" width="43.26953125" customWidth="1"/>
    <col min="11" max="14" width="12.54296875" customWidth="1"/>
    <col min="15" max="15" width="10.54296875" customWidth="1"/>
    <col min="16" max="16" width="12.7265625" customWidth="1"/>
  </cols>
  <sheetData>
    <row r="1" spans="2:6" ht="32" x14ac:dyDescent="0.7">
      <c r="C1" s="116" t="s">
        <v>229</v>
      </c>
      <c r="D1" s="117"/>
    </row>
    <row r="2" spans="2:6" ht="32" x14ac:dyDescent="0.7">
      <c r="B2" s="118" t="s">
        <v>30</v>
      </c>
      <c r="C2" s="119"/>
      <c r="D2" s="119" t="str">
        <f>Basisoplysninger!B7</f>
        <v>Vælg selskab (drop down)</v>
      </c>
      <c r="F2" s="119"/>
    </row>
    <row r="3" spans="2:6" ht="45" customHeight="1" x14ac:dyDescent="0.35">
      <c r="C3" s="7" t="e">
        <f>INDEX(rSPV!A10:A111,MATCH(Renseanlæg!C2,rSPV!B10:B111,0))</f>
        <v>#N/A</v>
      </c>
    </row>
    <row r="4" spans="2:6" ht="45" customHeight="1" x14ac:dyDescent="0.35"/>
    <row r="5" spans="2:6" ht="45" customHeight="1" x14ac:dyDescent="0.35"/>
    <row r="6" spans="2:6" ht="45" customHeight="1" x14ac:dyDescent="0.35"/>
    <row r="7" spans="2:6" ht="45" customHeight="1" x14ac:dyDescent="0.35"/>
    <row r="8" spans="2:6" ht="25.15" customHeight="1" x14ac:dyDescent="0.35"/>
    <row r="9" spans="2:6" ht="25.15" customHeight="1" x14ac:dyDescent="0.35"/>
    <row r="10" spans="2:6" ht="25.15" customHeight="1" x14ac:dyDescent="0.35"/>
    <row r="11" spans="2:6" ht="25.15" customHeight="1" x14ac:dyDescent="0.35"/>
    <row r="12" spans="2:6" ht="25.15" customHeight="1" x14ac:dyDescent="0.35"/>
    <row r="13" spans="2:6" ht="25.15" customHeight="1" x14ac:dyDescent="0.35"/>
    <row r="14" spans="2:6" ht="25.15" customHeight="1" x14ac:dyDescent="0.35"/>
    <row r="15" spans="2:6" ht="25.15" customHeight="1" x14ac:dyDescent="0.35"/>
    <row r="16" spans="2:6" ht="25.15" customHeight="1" x14ac:dyDescent="0.35"/>
    <row r="17" spans="2:18" ht="25.15" customHeight="1" x14ac:dyDescent="0.35"/>
    <row r="18" spans="2:18" ht="25.15" customHeight="1" x14ac:dyDescent="0.35"/>
    <row r="19" spans="2:18" ht="25.15" customHeight="1" x14ac:dyDescent="0.35"/>
    <row r="20" spans="2:18" ht="25.15" customHeight="1" x14ac:dyDescent="0.35"/>
    <row r="21" spans="2:18" ht="25.15" customHeight="1" x14ac:dyDescent="0.35"/>
    <row r="22" spans="2:18" ht="25.15" customHeight="1" thickBot="1" x14ac:dyDescent="0.4">
      <c r="B22" s="196"/>
      <c r="I22" s="4"/>
    </row>
    <row r="23" spans="2:18" ht="35.25" customHeight="1" thickBot="1" x14ac:dyDescent="0.4">
      <c r="B23" s="842" t="s">
        <v>1406</v>
      </c>
      <c r="C23" s="858"/>
      <c r="D23" s="859">
        <v>2023</v>
      </c>
      <c r="E23" s="859">
        <v>2025</v>
      </c>
      <c r="F23" s="859">
        <f t="shared" ref="F23:G23" si="0">E23+5</f>
        <v>2030</v>
      </c>
      <c r="G23" s="860">
        <f t="shared" si="0"/>
        <v>2035</v>
      </c>
      <c r="I23" s="971" t="s">
        <v>1407</v>
      </c>
      <c r="J23" s="972"/>
      <c r="K23" s="133">
        <v>2023</v>
      </c>
      <c r="L23" s="133">
        <v>2025</v>
      </c>
      <c r="M23" s="133">
        <f t="shared" ref="M23:N23" si="1">L23+5</f>
        <v>2030</v>
      </c>
      <c r="N23" s="134">
        <f t="shared" si="1"/>
        <v>2035</v>
      </c>
      <c r="O23" s="122"/>
      <c r="P23" s="954" t="s">
        <v>1516</v>
      </c>
      <c r="Q23" s="955"/>
      <c r="R23" s="956"/>
    </row>
    <row r="24" spans="2:18" ht="35.25" customHeight="1" x14ac:dyDescent="0.35">
      <c r="B24" s="278"/>
      <c r="C24" s="847" t="s">
        <v>1282</v>
      </c>
      <c r="D24" s="848">
        <f>K24</f>
        <v>0</v>
      </c>
      <c r="E24" s="848">
        <f t="shared" ref="E24:G24" si="2">L24</f>
        <v>0</v>
      </c>
      <c r="F24" s="848">
        <f t="shared" si="2"/>
        <v>0</v>
      </c>
      <c r="G24" s="849">
        <f t="shared" si="2"/>
        <v>0</v>
      </c>
      <c r="I24" s="974" t="s">
        <v>182</v>
      </c>
      <c r="J24" s="132" t="s">
        <v>203</v>
      </c>
      <c r="K24" s="151">
        <f>IFERROR(SUM(K25:K30),"")</f>
        <v>0</v>
      </c>
      <c r="L24" s="151">
        <f t="shared" ref="L24:N24" si="3">IFERROR(SUM(L25:L30),"")</f>
        <v>0</v>
      </c>
      <c r="M24" s="151">
        <f t="shared" si="3"/>
        <v>0</v>
      </c>
      <c r="N24" s="152">
        <f t="shared" si="3"/>
        <v>0</v>
      </c>
      <c r="O24" s="157"/>
      <c r="P24" s="957"/>
      <c r="Q24" s="958"/>
      <c r="R24" s="959"/>
    </row>
    <row r="25" spans="2:18" ht="35.25" customHeight="1" thickBot="1" x14ac:dyDescent="0.4">
      <c r="B25" s="281"/>
      <c r="C25" s="282" t="s">
        <v>204</v>
      </c>
      <c r="D25" s="850">
        <f>K31</f>
        <v>0</v>
      </c>
      <c r="E25" s="850">
        <f t="shared" ref="E25:G25" si="4">L31</f>
        <v>0</v>
      </c>
      <c r="F25" s="850">
        <f t="shared" si="4"/>
        <v>0</v>
      </c>
      <c r="G25" s="851">
        <f t="shared" si="4"/>
        <v>0</v>
      </c>
      <c r="I25" s="966"/>
      <c r="J25" s="321" t="s">
        <v>205</v>
      </c>
      <c r="K25" s="770">
        <f>SUM(Renseanlæg!F33*Renseanlæg!J33,Renseanlæg!F35*Renseanlæg!J35,Renseanlæg!F36*Renseanlæg!J36,Renseanlæg!F37*Renseanlæg!$K$37,Renseanlæg!F39*Renseanlæg!J39,Renseanlæg!F40*Renseanlæg!J40,Renseanlæg!F41*Renseanlæg!J41)</f>
        <v>0</v>
      </c>
      <c r="L25" s="770">
        <f>SUM(Renseanlæg!G33*Renseanlæg!K33,Renseanlæg!G35*Renseanlæg!K35,Renseanlæg!G36*Renseanlæg!K36,Renseanlæg!G37*Renseanlæg!$K$37,Renseanlæg!G39*Renseanlæg!K39,Renseanlæg!G40*Renseanlæg!K40,Renseanlæg!G41*Renseanlæg!K41)</f>
        <v>0</v>
      </c>
      <c r="M25" s="770">
        <f>SUM(Renseanlæg!H33*Renseanlæg!L33,Renseanlæg!H35*Renseanlæg!L35,Renseanlæg!H36*Renseanlæg!L36,Renseanlæg!H37*Renseanlæg!$K$37,Renseanlæg!H39*Renseanlæg!L39,Renseanlæg!H40*Renseanlæg!L40,Renseanlæg!H41*Renseanlæg!L41)</f>
        <v>0</v>
      </c>
      <c r="N25" s="771">
        <f>SUM(Renseanlæg!I33*Renseanlæg!M33,Renseanlæg!I35*Renseanlæg!M35,Renseanlæg!I36*Renseanlæg!M36,Renseanlæg!I37*Renseanlæg!$K$37,Renseanlæg!I39*Renseanlæg!M39,Renseanlæg!I40*Renseanlæg!M40,Renseanlæg!I41*Renseanlæg!M41)</f>
        <v>0</v>
      </c>
      <c r="O25" s="158"/>
      <c r="P25" s="960"/>
      <c r="Q25" s="961"/>
      <c r="R25" s="962"/>
    </row>
    <row r="26" spans="2:18" ht="35.25" customHeight="1" x14ac:dyDescent="0.35">
      <c r="B26" s="281"/>
      <c r="C26" s="282" t="s">
        <v>206</v>
      </c>
      <c r="D26" s="850">
        <f>K34</f>
        <v>0</v>
      </c>
      <c r="E26" s="850">
        <f t="shared" ref="E26:G26" si="5">L34</f>
        <v>0</v>
      </c>
      <c r="F26" s="850">
        <f t="shared" si="5"/>
        <v>0</v>
      </c>
      <c r="G26" s="851">
        <f t="shared" si="5"/>
        <v>0</v>
      </c>
      <c r="I26" s="966"/>
      <c r="J26" s="138" t="s">
        <v>150</v>
      </c>
      <c r="K26" s="770">
        <f>Renseanlæg!F47*Renseanlæg!J47</f>
        <v>0</v>
      </c>
      <c r="L26" s="770">
        <f>Renseanlæg!G47*Renseanlæg!K47</f>
        <v>0</v>
      </c>
      <c r="M26" s="770">
        <f>Renseanlæg!H47*Renseanlæg!L47</f>
        <v>0</v>
      </c>
      <c r="N26" s="771">
        <f>Renseanlæg!I47*Renseanlæg!M47</f>
        <v>0</v>
      </c>
      <c r="O26" s="158"/>
    </row>
    <row r="27" spans="2:18" ht="35.25" customHeight="1" x14ac:dyDescent="0.35">
      <c r="B27" s="281"/>
      <c r="C27" s="282" t="s">
        <v>208</v>
      </c>
      <c r="D27" s="850">
        <f>K42</f>
        <v>0</v>
      </c>
      <c r="E27" s="850">
        <f t="shared" ref="E27:G27" si="6">L42</f>
        <v>0</v>
      </c>
      <c r="F27" s="850">
        <f t="shared" si="6"/>
        <v>0</v>
      </c>
      <c r="G27" s="851">
        <f t="shared" si="6"/>
        <v>0</v>
      </c>
      <c r="I27" s="966"/>
      <c r="J27" s="138" t="s">
        <v>1202</v>
      </c>
      <c r="K27" s="772">
        <f>IF(ISNUMBER(Renseanlæg!J55),Renseanlæg!F53*Renseanlæg!J55,Renseanlæg!F53*Renseanlæg!J54)</f>
        <v>0</v>
      </c>
      <c r="L27" s="772">
        <f>IF(ISNUMBER(Renseanlæg!K55),Renseanlæg!G53*Renseanlæg!K55,Renseanlæg!G53*Renseanlæg!K54)</f>
        <v>0</v>
      </c>
      <c r="M27" s="772">
        <f>IF(ISNUMBER(Renseanlæg!L55),Renseanlæg!H53*Renseanlæg!L55,Renseanlæg!H53*Renseanlæg!L54)</f>
        <v>0</v>
      </c>
      <c r="N27" s="773">
        <f>IF(ISNUMBER(Renseanlæg!M55),Renseanlæg!I53*Renseanlæg!M55,Renseanlæg!I53*Renseanlæg!M54)</f>
        <v>0</v>
      </c>
    </row>
    <row r="28" spans="2:18" ht="35.25" customHeight="1" thickBot="1" x14ac:dyDescent="0.4">
      <c r="B28" s="283"/>
      <c r="C28" s="284" t="s">
        <v>1171</v>
      </c>
      <c r="D28" s="894">
        <f>K56</f>
        <v>0</v>
      </c>
      <c r="E28" s="894">
        <f t="shared" ref="E28:G28" si="7">L56</f>
        <v>0</v>
      </c>
      <c r="F28" s="894">
        <f t="shared" si="7"/>
        <v>0</v>
      </c>
      <c r="G28" s="895">
        <f t="shared" si="7"/>
        <v>0</v>
      </c>
      <c r="I28" s="966"/>
      <c r="J28" s="138" t="s">
        <v>1203</v>
      </c>
      <c r="K28" s="772">
        <f>IF(ISNUMBER(Renseanlæg!J64),Renseanlæg!F62*Renseanlæg!J64,Renseanlæg!F62*Renseanlæg!J63)</f>
        <v>0</v>
      </c>
      <c r="L28" s="772">
        <f>IF(ISNUMBER(Renseanlæg!K64),Renseanlæg!G62*Renseanlæg!K64,Renseanlæg!G62*Renseanlæg!K63)</f>
        <v>0</v>
      </c>
      <c r="M28" s="772">
        <f>IF(ISNUMBER(Renseanlæg!L64),Renseanlæg!H62*Renseanlæg!L64,Renseanlæg!H62*Renseanlæg!L63)</f>
        <v>0</v>
      </c>
      <c r="N28" s="773">
        <f>IF(ISNUMBER(Renseanlæg!M64),Renseanlæg!I62*Renseanlæg!M64,Renseanlæg!I62*Renseanlæg!M63)</f>
        <v>0</v>
      </c>
      <c r="O28" s="158"/>
    </row>
    <row r="29" spans="2:18" ht="35.25" customHeight="1" x14ac:dyDescent="0.35">
      <c r="B29" s="861"/>
      <c r="C29" s="862" t="s">
        <v>1170</v>
      </c>
      <c r="D29" s="896">
        <f>K60</f>
        <v>0</v>
      </c>
      <c r="E29" s="896">
        <f t="shared" ref="E29:G29" si="8">L60</f>
        <v>0</v>
      </c>
      <c r="F29" s="896">
        <f t="shared" si="8"/>
        <v>0</v>
      </c>
      <c r="G29" s="897">
        <f t="shared" si="8"/>
        <v>0</v>
      </c>
      <c r="I29" s="966"/>
      <c r="J29" s="313" t="s">
        <v>1410</v>
      </c>
      <c r="K29" s="774" t="str">
        <f>IFERROR(SUM(Renseanlæg!F70*Renseanlæg!J70,Renseanlæg!F71*Renseanlæg!J71),"")</f>
        <v/>
      </c>
      <c r="L29" s="774">
        <f>IFERROR(SUM(Renseanlæg!G70*Renseanlæg!K70,Renseanlæg!G71*Renseanlæg!K71),"")</f>
        <v>0</v>
      </c>
      <c r="M29" s="774">
        <f>IFERROR(SUM(Renseanlæg!H70*Renseanlæg!L70,Renseanlæg!H71*Renseanlæg!L71),"")</f>
        <v>0</v>
      </c>
      <c r="N29" s="773">
        <f>IFERROR(SUM(Renseanlæg!I70*Renseanlæg!M70,Renseanlæg!I71*Renseanlæg!M71),"")</f>
        <v>0</v>
      </c>
    </row>
    <row r="30" spans="2:18" ht="35.25" customHeight="1" thickBot="1" x14ac:dyDescent="0.4">
      <c r="B30" s="863"/>
      <c r="C30" s="284" t="s">
        <v>216</v>
      </c>
      <c r="D30" s="864" t="str">
        <f>K63</f>
        <v>ingen ekstern varmepumpe</v>
      </c>
      <c r="E30" s="898" t="str">
        <f t="shared" ref="E30:G30" si="9">L63</f>
        <v>ingen ekstern varmepumpe</v>
      </c>
      <c r="F30" s="898" t="str">
        <f t="shared" si="9"/>
        <v>ingen ekstern varmepumpe</v>
      </c>
      <c r="G30" s="899" t="str">
        <f t="shared" si="9"/>
        <v>ingen ekstern varmepumpe</v>
      </c>
      <c r="I30" s="967"/>
      <c r="J30" s="161" t="s">
        <v>1409</v>
      </c>
      <c r="K30" s="775" cm="1">
        <f t="array" ref="K30">IFERROR(SUM(Renseanlæg!F161:F170*(Renseanlæg!$J$161:$J$170)),"")</f>
        <v>0</v>
      </c>
      <c r="L30" s="775" cm="1">
        <f t="array" ref="L30">IFERROR(SUM(Renseanlæg!G161:G170*(Renseanlæg!$J$161:$J$170)),"")</f>
        <v>0</v>
      </c>
      <c r="M30" s="775" cm="1">
        <f t="array" ref="M30">IFERROR(SUM(Renseanlæg!H161:H170*(Renseanlæg!$J$161:$J$170)),"")</f>
        <v>0</v>
      </c>
      <c r="N30" s="776" cm="1">
        <f t="array" ref="N30">IFERROR(SUM(Renseanlæg!I161:I170*(Renseanlæg!$J$161:$J$170)),"")</f>
        <v>0</v>
      </c>
    </row>
    <row r="31" spans="2:18" ht="35.25" customHeight="1" x14ac:dyDescent="0.35">
      <c r="I31" s="973" t="s">
        <v>212</v>
      </c>
      <c r="J31" s="296" t="s">
        <v>211</v>
      </c>
      <c r="K31" s="777">
        <f>SUM(K32:K33)</f>
        <v>0</v>
      </c>
      <c r="L31" s="777">
        <f t="shared" ref="L31:N31" si="10">SUM(L32:L33)</f>
        <v>0</v>
      </c>
      <c r="M31" s="777">
        <f t="shared" si="10"/>
        <v>0</v>
      </c>
      <c r="N31" s="778">
        <f t="shared" si="10"/>
        <v>0</v>
      </c>
      <c r="O31" s="162"/>
    </row>
    <row r="32" spans="2:18" ht="35.25" customHeight="1" x14ac:dyDescent="0.35">
      <c r="B32" s="296"/>
      <c r="I32" s="966"/>
      <c r="J32" s="138" t="s">
        <v>87</v>
      </c>
      <c r="K32" s="770">
        <f>IFERROR(Renseanlæg!F90*Renseanlæg!J90,"")</f>
        <v>0</v>
      </c>
      <c r="L32" s="770">
        <f>IFERROR(Renseanlæg!G90*Renseanlæg!K90,"")</f>
        <v>0</v>
      </c>
      <c r="M32" s="770">
        <f>IFERROR(Renseanlæg!H90*Renseanlæg!L90,"")</f>
        <v>0</v>
      </c>
      <c r="N32" s="771">
        <f>IFERROR(Renseanlæg!I90*Renseanlæg!M90,"")</f>
        <v>0</v>
      </c>
      <c r="O32" s="158"/>
    </row>
    <row r="33" spans="2:15" ht="35.25" customHeight="1" x14ac:dyDescent="0.35">
      <c r="B33" s="297"/>
      <c r="C33" s="273"/>
      <c r="D33" s="163"/>
      <c r="E33" s="163"/>
      <c r="F33" s="163"/>
      <c r="G33" s="163"/>
      <c r="I33" s="967"/>
      <c r="J33" s="141" t="s">
        <v>40</v>
      </c>
      <c r="K33" s="770">
        <f>IFERROR(Renseanlæg!F84*Renseanlæg!J84,"")</f>
        <v>0</v>
      </c>
      <c r="L33" s="770">
        <f>IFERROR(Renseanlæg!G84*Renseanlæg!K84,"")</f>
        <v>0</v>
      </c>
      <c r="M33" s="770">
        <f>IFERROR(Renseanlæg!H84*Renseanlæg!L84,"")</f>
        <v>0</v>
      </c>
      <c r="N33" s="771">
        <f>IFERROR(Renseanlæg!I84*Renseanlæg!M84,"")</f>
        <v>0</v>
      </c>
      <c r="O33" s="158"/>
    </row>
    <row r="34" spans="2:15" ht="35.25" customHeight="1" x14ac:dyDescent="0.35">
      <c r="C34" s="302"/>
      <c r="D34" s="303"/>
      <c r="E34" s="303"/>
      <c r="F34" s="303"/>
      <c r="G34" s="303"/>
      <c r="I34" s="973" t="s">
        <v>183</v>
      </c>
      <c r="J34" s="296" t="s">
        <v>213</v>
      </c>
      <c r="K34" s="779">
        <f>SUM(K35:K41)</f>
        <v>0</v>
      </c>
      <c r="L34" s="779">
        <f t="shared" ref="L34:N34" si="11">SUM(L35:L41)</f>
        <v>0</v>
      </c>
      <c r="M34" s="779">
        <f t="shared" si="11"/>
        <v>0</v>
      </c>
      <c r="N34" s="780">
        <f t="shared" si="11"/>
        <v>0</v>
      </c>
      <c r="O34" s="162"/>
    </row>
    <row r="35" spans="2:15" ht="35.25" customHeight="1" x14ac:dyDescent="0.35">
      <c r="C35" s="138"/>
      <c r="D35" s="163"/>
      <c r="E35" s="163"/>
      <c r="F35" s="163"/>
      <c r="G35" s="163"/>
      <c r="I35" s="966"/>
      <c r="J35" s="138" t="s">
        <v>214</v>
      </c>
      <c r="K35" s="770" cm="1">
        <f t="array" ref="K35">SUM(Renseanlæg!F110:F129*Renseanlæg!$K$110:$K$129)</f>
        <v>0</v>
      </c>
      <c r="L35" s="770" cm="1">
        <f t="array" ref="L35">SUM(Renseanlæg!G110:G129*Renseanlæg!$K$110:$K$129)</f>
        <v>0</v>
      </c>
      <c r="M35" s="770" cm="1">
        <f t="array" ref="M35">SUM(Renseanlæg!H110:H129*Renseanlæg!$K$110:$K$129)</f>
        <v>0</v>
      </c>
      <c r="N35" s="771" cm="1">
        <f t="array" ref="N35">SUM(Renseanlæg!I110:I129*Renseanlæg!$K$110:$K$129)</f>
        <v>0</v>
      </c>
      <c r="O35" s="158"/>
    </row>
    <row r="36" spans="2:15" ht="35.25" customHeight="1" x14ac:dyDescent="0.35">
      <c r="I36" s="966"/>
      <c r="J36" s="138" t="s">
        <v>1211</v>
      </c>
      <c r="K36" s="770" cm="1">
        <f t="array" ref="K36">(SUM(Renseanlæg!F136:F138*Renseanlæg!J136:J138,Renseanlæg!F140:F142*Renseanlæg!J140:J142,Renseanlæg!F139*Renseanlæg!$K$139))</f>
        <v>0</v>
      </c>
      <c r="L36" s="770" cm="1">
        <f t="array" ref="L36">(SUM(Renseanlæg!G136:G138*Renseanlæg!K136:K138,Renseanlæg!G140:G142*Renseanlæg!K140:K142,Renseanlæg!G139*Renseanlæg!$K$139))</f>
        <v>0</v>
      </c>
      <c r="M36" s="770" cm="1">
        <f t="array" ref="M36">(SUM(Renseanlæg!H136:H138*Renseanlæg!L136:L138,Renseanlæg!H140:H142*Renseanlæg!L140:L142,Renseanlæg!H139*Renseanlæg!$K$139))</f>
        <v>0</v>
      </c>
      <c r="N36" s="771" cm="1">
        <f t="array" ref="N36">(SUM(Renseanlæg!I136:I138*Renseanlæg!M136:M138,Renseanlæg!I140:I142*Renseanlæg!M140:M142,Renseanlæg!I139*Renseanlæg!$K$139))</f>
        <v>0</v>
      </c>
      <c r="O36" s="158"/>
    </row>
    <row r="37" spans="2:15" ht="35.25" customHeight="1" x14ac:dyDescent="0.35">
      <c r="B37" s="296"/>
      <c r="C37" s="296"/>
      <c r="D37" s="122"/>
      <c r="E37" s="122"/>
      <c r="F37" s="122"/>
      <c r="G37" s="122"/>
      <c r="I37" s="966"/>
      <c r="J37" s="138" t="s">
        <v>1208</v>
      </c>
      <c r="K37" s="770" t="str" cm="1">
        <f t="array" ref="K37">IFERROR(SUM(Renseanlæg!F144:F145*Renseanlæg!J144:J145),"")</f>
        <v/>
      </c>
      <c r="L37" s="770" cm="1">
        <f t="array" ref="L37">IFERROR(SUM(Renseanlæg!G144:G145*Renseanlæg!K144:K145),"")</f>
        <v>0</v>
      </c>
      <c r="M37" s="770" cm="1">
        <f t="array" ref="M37">IFERROR(SUM(Renseanlæg!H144:H145*Renseanlæg!L144:L145),"")</f>
        <v>0</v>
      </c>
      <c r="N37" s="771" cm="1">
        <f t="array" ref="N37">IFERROR(SUM(Renseanlæg!I144:I145*Renseanlæg!M144:M145),"")</f>
        <v>0</v>
      </c>
      <c r="O37" s="158"/>
    </row>
    <row r="38" spans="2:15" ht="35.25" customHeight="1" x14ac:dyDescent="0.35">
      <c r="B38" s="297"/>
      <c r="C38" s="273"/>
      <c r="D38" s="272"/>
      <c r="E38" s="272"/>
      <c r="F38" s="272"/>
      <c r="G38" s="272"/>
      <c r="I38" s="966"/>
      <c r="J38" s="138" t="s">
        <v>1209</v>
      </c>
      <c r="K38" s="770">
        <f>IFERROR(Renseanlæg!F147*Renseanlæg!J147,"")</f>
        <v>0</v>
      </c>
      <c r="L38" s="770">
        <f>IFERROR(Renseanlæg!G147*Renseanlæg!K147,"")</f>
        <v>0</v>
      </c>
      <c r="M38" s="770">
        <f>IFERROR(Renseanlæg!H147*Renseanlæg!L147,"")</f>
        <v>0</v>
      </c>
      <c r="N38" s="771">
        <f>IFERROR(Renseanlæg!I147*Renseanlæg!M147,"")</f>
        <v>0</v>
      </c>
      <c r="O38" s="158"/>
    </row>
    <row r="39" spans="2:15" ht="35.25" customHeight="1" x14ac:dyDescent="0.35">
      <c r="C39" s="143"/>
      <c r="D39" s="272"/>
      <c r="E39" s="272"/>
      <c r="F39" s="272"/>
      <c r="G39" s="272"/>
      <c r="I39" s="966"/>
      <c r="J39" s="138" t="s">
        <v>1210</v>
      </c>
      <c r="K39" s="770">
        <f>IFERROR(Renseanlæg!F146*Renseanlæg!J146,"")</f>
        <v>0</v>
      </c>
      <c r="L39" s="770">
        <f>IFERROR(Renseanlæg!G146*Renseanlæg!K146,"")</f>
        <v>0</v>
      </c>
      <c r="M39" s="770">
        <f>IFERROR(Renseanlæg!H146*Renseanlæg!L146,"")</f>
        <v>0</v>
      </c>
      <c r="N39" s="771">
        <f>IFERROR(Renseanlæg!I146*Renseanlæg!M146,"")</f>
        <v>0</v>
      </c>
      <c r="O39" s="158"/>
    </row>
    <row r="40" spans="2:15" ht="35.25" customHeight="1" thickBot="1" x14ac:dyDescent="0.4">
      <c r="C40" s="143"/>
      <c r="D40" s="272"/>
      <c r="E40" s="272"/>
      <c r="F40" s="272"/>
      <c r="G40" s="272"/>
      <c r="I40" s="966"/>
      <c r="J40" s="138" t="s">
        <v>172</v>
      </c>
      <c r="K40" s="774" cm="1">
        <f t="array" ref="K40">IFERROR(SUM(Renseanlæg!F153:F155*Renseanlæg!J153:J155),"")</f>
        <v>0</v>
      </c>
      <c r="L40" s="774" cm="1">
        <f t="array" ref="L40">IFERROR(SUM(Renseanlæg!G153:G155*Renseanlæg!K153:K155),"")</f>
        <v>0</v>
      </c>
      <c r="M40" s="774" cm="1">
        <f t="array" ref="M40">IFERROR(SUM(Renseanlæg!H153:H155*Renseanlæg!L153:L155),"")</f>
        <v>0</v>
      </c>
      <c r="N40" s="773" cm="1">
        <f t="array" ref="N40">IFERROR(SUM(Renseanlæg!I153:I155*Renseanlæg!M153:M155),"")</f>
        <v>0</v>
      </c>
    </row>
    <row r="41" spans="2:15" ht="35.25" customHeight="1" thickBot="1" x14ac:dyDescent="0.4">
      <c r="B41" s="286" t="s">
        <v>1408</v>
      </c>
      <c r="C41" s="287"/>
      <c r="D41" s="288">
        <v>2023</v>
      </c>
      <c r="E41" s="288">
        <v>2025</v>
      </c>
      <c r="F41" s="288">
        <f t="shared" ref="F41:G41" si="12">E41+5</f>
        <v>2030</v>
      </c>
      <c r="G41" s="289">
        <f t="shared" si="12"/>
        <v>2035</v>
      </c>
      <c r="I41" s="967"/>
      <c r="J41" s="138" t="s">
        <v>1411</v>
      </c>
      <c r="K41" s="774" cm="1">
        <f t="array" ref="K41">IFERROR(SUM(Renseanlæg!F161:F170*(Renseanlæg!$K$161:$K$170)),"")</f>
        <v>0</v>
      </c>
      <c r="L41" s="774" cm="1">
        <f t="array" ref="L41">IFERROR(SUM(Renseanlæg!G161:G170*(Renseanlæg!$K$161:$K$170)),"")</f>
        <v>0</v>
      </c>
      <c r="M41" s="774" cm="1">
        <f t="array" ref="M41">IFERROR(SUM(Renseanlæg!H161:H170*(Renseanlæg!$K$161:$K$170)),"")</f>
        <v>0</v>
      </c>
      <c r="N41" s="773" cm="1">
        <f t="array" ref="N41">IFERROR(SUM(Renseanlæg!I161:I170*(Renseanlæg!$K$161:$K$170)),"")</f>
        <v>0</v>
      </c>
    </row>
    <row r="42" spans="2:15" ht="35.25" customHeight="1" x14ac:dyDescent="0.35">
      <c r="B42" s="290"/>
      <c r="C42" s="752" t="s">
        <v>1395</v>
      </c>
      <c r="D42" s="762">
        <f>SUM(Renseanlæg!F31,Renseanlæg!F90)/1000</f>
        <v>0</v>
      </c>
      <c r="E42" s="762">
        <f>SUM(Renseanlæg!G31,Renseanlæg!G90)/1000</f>
        <v>0</v>
      </c>
      <c r="F42" s="762">
        <f>SUM(Renseanlæg!H31,Renseanlæg!H90)/1000</f>
        <v>0</v>
      </c>
      <c r="G42" s="763">
        <f>SUM(Renseanlæg!I31,Renseanlæg!I90)/1000</f>
        <v>0</v>
      </c>
      <c r="I42" s="142"/>
      <c r="J42" s="145" t="s">
        <v>226</v>
      </c>
      <c r="K42" s="871">
        <f>SUM(K43,K46)</f>
        <v>0</v>
      </c>
      <c r="L42" s="871">
        <f t="shared" ref="L42:N42" si="13">SUM(L43,L46)</f>
        <v>0</v>
      </c>
      <c r="M42" s="871">
        <f t="shared" si="13"/>
        <v>0</v>
      </c>
      <c r="N42" s="872">
        <f t="shared" si="13"/>
        <v>0</v>
      </c>
      <c r="O42" s="164"/>
    </row>
    <row r="43" spans="2:15" ht="35.25" customHeight="1" x14ac:dyDescent="0.35">
      <c r="B43" s="291"/>
      <c r="C43" s="753" t="s">
        <v>1396</v>
      </c>
      <c r="D43" s="764">
        <f>SUM(Renseanlæg!F203:F204)/1000</f>
        <v>0</v>
      </c>
      <c r="E43" s="764">
        <f>SUM(Renseanlæg!G203:G204)/1000</f>
        <v>0</v>
      </c>
      <c r="F43" s="764">
        <f>SUM(Renseanlæg!H203:H204)/1000</f>
        <v>0</v>
      </c>
      <c r="G43" s="765">
        <f>SUM(Renseanlæg!I203:I204)/1000</f>
        <v>0</v>
      </c>
      <c r="I43" s="966" t="s">
        <v>217</v>
      </c>
      <c r="J43" s="312" t="s">
        <v>227</v>
      </c>
      <c r="K43" s="873">
        <f>IFERROR(SUM(K44:K45),"")</f>
        <v>0</v>
      </c>
      <c r="L43" s="873">
        <f t="shared" ref="L43:N43" si="14">IFERROR(SUM(L44:L45),"")</f>
        <v>0</v>
      </c>
      <c r="M43" s="873">
        <f t="shared" si="14"/>
        <v>0</v>
      </c>
      <c r="N43" s="874">
        <f t="shared" si="14"/>
        <v>0</v>
      </c>
      <c r="O43" s="124"/>
    </row>
    <row r="44" spans="2:15" ht="35.25" customHeight="1" x14ac:dyDescent="0.35">
      <c r="B44" s="291"/>
      <c r="C44" s="753" t="s">
        <v>1288</v>
      </c>
      <c r="D44" s="764">
        <f>SUM(Renseanlæg!F98:F99)/1000</f>
        <v>0</v>
      </c>
      <c r="E44" s="764">
        <f>SUM(Renseanlæg!G98:G99)/1000</f>
        <v>0</v>
      </c>
      <c r="F44" s="764">
        <f>SUM(Renseanlæg!H98:H99)/1000</f>
        <v>0</v>
      </c>
      <c r="G44" s="765">
        <f>SUM(Renseanlæg!I98:I99)/1000</f>
        <v>0</v>
      </c>
      <c r="I44" s="966"/>
      <c r="J44" s="313" t="s">
        <v>230</v>
      </c>
      <c r="K44" s="770" cm="1">
        <f t="array" ref="K44">IFERROR(SUM(Renseanlæg!F179:F188*Renseanlæg!$J$179:$J$188),"")</f>
        <v>0</v>
      </c>
      <c r="L44" s="770" cm="1">
        <f t="array" ref="L44">IFERROR(SUM(Renseanlæg!G179:G188*Renseanlæg!$J$179:$J$188),"")</f>
        <v>0</v>
      </c>
      <c r="M44" s="770" cm="1">
        <f t="array" ref="M44">IFERROR(SUM(Renseanlæg!H179:H188*Renseanlæg!$J$179:$J$188),"")</f>
        <v>0</v>
      </c>
      <c r="N44" s="771" cm="1">
        <f t="array" ref="N44">IFERROR(SUM(Renseanlæg!I179:I188*Renseanlæg!$J$179:$J$188),"")</f>
        <v>0</v>
      </c>
      <c r="O44" s="158"/>
    </row>
    <row r="45" spans="2:15" ht="35.25" customHeight="1" thickBot="1" x14ac:dyDescent="0.4">
      <c r="B45" s="291"/>
      <c r="C45" s="753" t="s">
        <v>1397</v>
      </c>
      <c r="D45" s="740">
        <f>SUM(Renseanlæg!F241:F242)/1000</f>
        <v>0</v>
      </c>
      <c r="E45" s="740">
        <f>SUM(Renseanlæg!G241:G242)/1000</f>
        <v>0</v>
      </c>
      <c r="F45" s="740">
        <f>SUM(Renseanlæg!H241:H242)/1000</f>
        <v>0</v>
      </c>
      <c r="G45" s="741">
        <f>SUM(Renseanlæg!I241:I242)/1000</f>
        <v>0</v>
      </c>
      <c r="I45" s="966"/>
      <c r="J45" s="154" t="s">
        <v>115</v>
      </c>
      <c r="K45" s="772">
        <f>-SUM(Renseanlæg!F194:F196)</f>
        <v>0</v>
      </c>
      <c r="L45" s="772">
        <f>-SUM(Renseanlæg!G194:G196)</f>
        <v>0</v>
      </c>
      <c r="M45" s="772">
        <f>-SUM(Renseanlæg!H194:H196)</f>
        <v>0</v>
      </c>
      <c r="N45" s="773">
        <f>-SUM(Renseanlæg!I194:I196)</f>
        <v>0</v>
      </c>
      <c r="O45" s="158"/>
    </row>
    <row r="46" spans="2:15" ht="35.25" customHeight="1" x14ac:dyDescent="0.35">
      <c r="B46" s="292"/>
      <c r="C46" s="293" t="s">
        <v>1403</v>
      </c>
      <c r="D46" s="766" t="str">
        <f>IFERROR((D43+D44)/(D42+D44)*100,"")</f>
        <v/>
      </c>
      <c r="E46" s="766" t="str">
        <f t="shared" ref="E46:G46" si="15">IFERROR((E43+E44)/(E42+E44)*100,"")</f>
        <v/>
      </c>
      <c r="F46" s="766" t="str">
        <f t="shared" si="15"/>
        <v/>
      </c>
      <c r="G46" s="767" t="str">
        <f t="shared" si="15"/>
        <v/>
      </c>
      <c r="I46" s="966"/>
      <c r="J46" s="314" t="s">
        <v>228</v>
      </c>
      <c r="K46" s="875">
        <f>IFERROR(SUM(K47:K55),"")</f>
        <v>0</v>
      </c>
      <c r="L46" s="875">
        <f t="shared" ref="L46:N46" si="16">IFERROR(SUM(L47:L55),"")</f>
        <v>0</v>
      </c>
      <c r="M46" s="875">
        <f t="shared" si="16"/>
        <v>0</v>
      </c>
      <c r="N46" s="876">
        <f t="shared" si="16"/>
        <v>0</v>
      </c>
      <c r="O46" s="158"/>
    </row>
    <row r="47" spans="2:15" ht="35.25" customHeight="1" thickBot="1" x14ac:dyDescent="0.4">
      <c r="B47" s="294"/>
      <c r="C47" s="295" t="s">
        <v>1404</v>
      </c>
      <c r="D47" s="768" t="str">
        <f>IFERROR((D44+D43+D45)/(D42+D44)*100,"")</f>
        <v/>
      </c>
      <c r="E47" s="768" t="str">
        <f t="shared" ref="E47:G47" si="17">IFERROR((E44+E43+E45)/(E42+E44)*100,"")</f>
        <v/>
      </c>
      <c r="F47" s="768" t="str">
        <f t="shared" si="17"/>
        <v/>
      </c>
      <c r="G47" s="769" t="str">
        <f t="shared" si="17"/>
        <v/>
      </c>
      <c r="I47" s="966"/>
      <c r="J47" s="154" t="s">
        <v>220</v>
      </c>
      <c r="K47" s="772" t="str">
        <f>IFERROR(Renseanlæg!F203*Renseanlæg!J203,"")</f>
        <v/>
      </c>
      <c r="L47" s="772">
        <f>IFERROR(Renseanlæg!G203*Renseanlæg!K203,"")</f>
        <v>0</v>
      </c>
      <c r="M47" s="772">
        <f>IFERROR(Renseanlæg!H203*Renseanlæg!L203,"")</f>
        <v>0</v>
      </c>
      <c r="N47" s="773">
        <f>IFERROR(Renseanlæg!I203*Renseanlæg!M203,"")</f>
        <v>0</v>
      </c>
      <c r="O47" s="158"/>
    </row>
    <row r="48" spans="2:15" ht="35.25" customHeight="1" x14ac:dyDescent="0.35">
      <c r="I48" s="966"/>
      <c r="J48" s="315" t="s">
        <v>1413</v>
      </c>
      <c r="K48" s="770">
        <f>IFERROR(SUMPRODUCT(Renseanlæg!F205:F208,Renseanlæg!J205:J208),"")</f>
        <v>0</v>
      </c>
      <c r="L48" s="770">
        <f>IFERROR(SUMPRODUCT(Renseanlæg!G205:G208,Renseanlæg!K205:K208),"")</f>
        <v>0</v>
      </c>
      <c r="M48" s="770">
        <f>IFERROR(SUMPRODUCT(Renseanlæg!H205:H208,Renseanlæg!L205:L208),"")</f>
        <v>0</v>
      </c>
      <c r="N48" s="770">
        <f>IFERROR(SUMPRODUCT(Renseanlæg!I205:I208,Renseanlæg!M205:M208),"")</f>
        <v>0</v>
      </c>
      <c r="O48" s="866"/>
    </row>
    <row r="49" spans="3:15" ht="35.25" customHeight="1" x14ac:dyDescent="0.35">
      <c r="I49" s="966"/>
      <c r="J49" s="315" t="s">
        <v>231</v>
      </c>
      <c r="K49" s="770" cm="1">
        <f t="array" ref="K49">IFERROR(SUM(Renseanlæg!F214:F223*Renseanlæg!J214:J223),"")</f>
        <v>0</v>
      </c>
      <c r="L49" s="770" cm="1">
        <f t="array" ref="L49">IFERROR(SUM(Renseanlæg!G214:G223*Renseanlæg!K214:K223),"")</f>
        <v>0</v>
      </c>
      <c r="M49" s="770" cm="1">
        <f t="array" ref="M49">IFERROR(SUM(Renseanlæg!H214:H223*Renseanlæg!L214:L223),"")</f>
        <v>0</v>
      </c>
      <c r="N49" s="771" cm="1">
        <f t="array" ref="N49">IFERROR(SUM(Renseanlæg!I214:I223*Renseanlæg!M214:M223),"")</f>
        <v>0</v>
      </c>
      <c r="O49" s="158"/>
    </row>
    <row r="50" spans="3:15" ht="35.25" customHeight="1" x14ac:dyDescent="0.35">
      <c r="I50" s="966"/>
      <c r="J50" s="315" t="s">
        <v>232</v>
      </c>
      <c r="K50" s="770">
        <f>IFERROR(Renseanlæg!F206*Renseanlæg!J206,"")</f>
        <v>0</v>
      </c>
      <c r="L50" s="770">
        <f>IFERROR(Renseanlæg!G206*Renseanlæg!K206,"")</f>
        <v>0</v>
      </c>
      <c r="M50" s="770">
        <f>IFERROR(Renseanlæg!H206*Renseanlæg!L206,"")</f>
        <v>0</v>
      </c>
      <c r="N50" s="771">
        <f>IFERROR(Renseanlæg!I206*Renseanlæg!M206,"")</f>
        <v>0</v>
      </c>
      <c r="O50" s="158"/>
    </row>
    <row r="51" spans="3:15" ht="35.25" customHeight="1" x14ac:dyDescent="0.35">
      <c r="I51" s="966"/>
      <c r="J51" s="315" t="s">
        <v>233</v>
      </c>
      <c r="K51" s="770">
        <f>IFERROR(Renseanlæg!F207*Renseanlæg!$K$207,"")</f>
        <v>0</v>
      </c>
      <c r="L51" s="770">
        <f>IFERROR(Renseanlæg!G207*Renseanlæg!$K$207,"")</f>
        <v>0</v>
      </c>
      <c r="M51" s="770">
        <f>IFERROR(Renseanlæg!H207*Renseanlæg!$K$207,"")</f>
        <v>0</v>
      </c>
      <c r="N51" s="771">
        <f>IFERROR(Renseanlæg!I207*Renseanlæg!$K$207,"")</f>
        <v>0</v>
      </c>
      <c r="O51" s="158"/>
    </row>
    <row r="52" spans="3:15" ht="35.25" customHeight="1" x14ac:dyDescent="0.35">
      <c r="I52" s="966"/>
      <c r="J52" s="315" t="s">
        <v>198</v>
      </c>
      <c r="K52" s="770">
        <f>IFERROR(Renseanlæg!F208*Renseanlæg!$K$208,"")</f>
        <v>0</v>
      </c>
      <c r="L52" s="770">
        <f>IFERROR(Renseanlæg!G208*Renseanlæg!$K$208,"")</f>
        <v>0</v>
      </c>
      <c r="M52" s="770">
        <f>IFERROR(Renseanlæg!H208*Renseanlæg!$K$208,"")</f>
        <v>0</v>
      </c>
      <c r="N52" s="771">
        <f>IFERROR(Renseanlæg!I208*Renseanlæg!$K$208,"")</f>
        <v>0</v>
      </c>
      <c r="O52" s="158"/>
    </row>
    <row r="53" spans="3:15" ht="35.25" customHeight="1" x14ac:dyDescent="0.35">
      <c r="I53" s="966"/>
      <c r="J53" s="315" t="s">
        <v>1207</v>
      </c>
      <c r="K53" s="770">
        <f>IFERROR(-Renseanlæg!F229,"")</f>
        <v>0</v>
      </c>
      <c r="L53" s="770">
        <f>IFERROR(-Renseanlæg!G229,"")</f>
        <v>0</v>
      </c>
      <c r="M53" s="770">
        <f>IFERROR(-Renseanlæg!H229,"")</f>
        <v>0</v>
      </c>
      <c r="N53" s="771">
        <f>IFERROR(-Renseanlæg!I229,"")</f>
        <v>0</v>
      </c>
      <c r="O53" s="158"/>
    </row>
    <row r="54" spans="3:15" ht="35.25" customHeight="1" x14ac:dyDescent="0.35">
      <c r="I54" s="966"/>
      <c r="J54" s="315" t="s">
        <v>1190</v>
      </c>
      <c r="K54" s="877">
        <f>IFERROR(-Renseanlæg!F230,"")</f>
        <v>0</v>
      </c>
      <c r="L54" s="877">
        <f>IFERROR(-Renseanlæg!G230,"")</f>
        <v>0</v>
      </c>
      <c r="M54" s="877">
        <f>IFERROR(-Renseanlæg!H230,"")</f>
        <v>0</v>
      </c>
      <c r="N54" s="878">
        <f>IFERROR(-Renseanlæg!I230,"")</f>
        <v>0</v>
      </c>
      <c r="O54" s="4"/>
    </row>
    <row r="55" spans="3:15" ht="35.25" customHeight="1" thickBot="1" x14ac:dyDescent="0.4">
      <c r="C55" s="163"/>
      <c r="D55" s="163"/>
      <c r="E55" s="163"/>
      <c r="F55" s="163"/>
      <c r="I55" s="322"/>
      <c r="J55" s="323" t="s">
        <v>130</v>
      </c>
      <c r="K55" s="879">
        <f>IFERROR(-SUM(Renseanlæg!F231:F233),"")</f>
        <v>0</v>
      </c>
      <c r="L55" s="879">
        <f>IFERROR(-SUM(Renseanlæg!G231:G233),"")</f>
        <v>0</v>
      </c>
      <c r="M55" s="879">
        <f>IFERROR(-SUM(Renseanlæg!H231:H233),"")</f>
        <v>0</v>
      </c>
      <c r="N55" s="880">
        <f>IFERROR(-SUM(Renseanlæg!I231:I233),"")</f>
        <v>0</v>
      </c>
      <c r="O55" s="165"/>
    </row>
    <row r="56" spans="3:15" ht="35.25" customHeight="1" thickBot="1" x14ac:dyDescent="0.4">
      <c r="C56" s="156"/>
      <c r="D56" s="156"/>
      <c r="E56" s="156"/>
      <c r="F56" s="156"/>
      <c r="I56" s="169"/>
      <c r="J56" s="147" t="s">
        <v>225</v>
      </c>
      <c r="K56" s="881">
        <f>SUM(K24,K31,K34,K42)</f>
        <v>0</v>
      </c>
      <c r="L56" s="881">
        <f t="shared" ref="L56:N56" si="18">SUM(L24,L31,L34,L42)</f>
        <v>0</v>
      </c>
      <c r="M56" s="881">
        <f t="shared" si="18"/>
        <v>0</v>
      </c>
      <c r="N56" s="818">
        <f t="shared" si="18"/>
        <v>0</v>
      </c>
    </row>
    <row r="57" spans="3:15" ht="35.25" customHeight="1" thickBot="1" x14ac:dyDescent="0.4"/>
    <row r="58" spans="3:15" ht="35.25" customHeight="1" thickBot="1" x14ac:dyDescent="0.4">
      <c r="I58" s="324" t="s">
        <v>221</v>
      </c>
      <c r="J58" s="325"/>
      <c r="K58" s="326">
        <v>2023</v>
      </c>
      <c r="L58" s="326">
        <v>2025</v>
      </c>
      <c r="M58" s="326">
        <f t="shared" ref="M58:N58" si="19">L58+5</f>
        <v>2030</v>
      </c>
      <c r="N58" s="327">
        <f t="shared" si="19"/>
        <v>2035</v>
      </c>
    </row>
    <row r="59" spans="3:15" ht="35.25" customHeight="1" thickBot="1" x14ac:dyDescent="0.4">
      <c r="I59" s="329"/>
      <c r="J59" s="332" t="s">
        <v>215</v>
      </c>
      <c r="K59" s="802" t="str">
        <f>IF(K60&lt;0,K42+K60,"ingen ekstern varmepumpe")</f>
        <v>ingen ekstern varmepumpe</v>
      </c>
      <c r="L59" s="884" t="str">
        <f t="shared" ref="L59:N59" si="20">IF(L60&lt;0,L42+L60,"ingen ekstern varmepumpe")</f>
        <v>ingen ekstern varmepumpe</v>
      </c>
      <c r="M59" s="884" t="str">
        <f t="shared" si="20"/>
        <v>ingen ekstern varmepumpe</v>
      </c>
      <c r="N59" s="885" t="str">
        <f t="shared" si="20"/>
        <v>ingen ekstern varmepumpe</v>
      </c>
    </row>
    <row r="60" spans="3:15" ht="35.25" customHeight="1" x14ac:dyDescent="0.35">
      <c r="I60" s="333"/>
      <c r="J60" s="331" t="s">
        <v>222</v>
      </c>
      <c r="K60" s="886">
        <f>SUM(K61:K62)</f>
        <v>0</v>
      </c>
      <c r="L60" s="886">
        <f t="shared" ref="L60:N60" si="21">SUM(L61:L62)</f>
        <v>0</v>
      </c>
      <c r="M60" s="886">
        <f t="shared" si="21"/>
        <v>0</v>
      </c>
      <c r="N60" s="887">
        <f t="shared" si="21"/>
        <v>0</v>
      </c>
    </row>
    <row r="61" spans="3:15" ht="35.25" customHeight="1" x14ac:dyDescent="0.35">
      <c r="I61" s="964" t="s">
        <v>217</v>
      </c>
      <c r="J61" s="756" t="s">
        <v>137</v>
      </c>
      <c r="K61" s="888">
        <f>IFERROR(Renseanlæg!F241*Renseanlæg!J241,"")</f>
        <v>0</v>
      </c>
      <c r="L61" s="888">
        <f>IFERROR(Renseanlæg!G241*Renseanlæg!K241,"")</f>
        <v>0</v>
      </c>
      <c r="M61" s="888">
        <f>IFERROR(Renseanlæg!H241*Renseanlæg!L241,"")</f>
        <v>0</v>
      </c>
      <c r="N61" s="889">
        <f>IFERROR(Renseanlæg!I241*Renseanlæg!M241,"")</f>
        <v>0</v>
      </c>
    </row>
    <row r="62" spans="3:15" ht="35.25" customHeight="1" thickBot="1" x14ac:dyDescent="0.4">
      <c r="I62" s="965"/>
      <c r="J62" s="328" t="s">
        <v>139</v>
      </c>
      <c r="K62" s="890">
        <f>IFERROR(Renseanlæg!F242*Renseanlæg!J242,"")</f>
        <v>0</v>
      </c>
      <c r="L62" s="890">
        <f>IFERROR(Renseanlæg!G242*Renseanlæg!K242,"")</f>
        <v>0</v>
      </c>
      <c r="M62" s="890">
        <f>IFERROR(Renseanlæg!H242*Renseanlæg!L242,"")</f>
        <v>0</v>
      </c>
      <c r="N62" s="891">
        <f>IFERROR(Renseanlæg!I242*Renseanlæg!M242,"")</f>
        <v>0</v>
      </c>
    </row>
    <row r="63" spans="3:15" ht="35.25" customHeight="1" thickBot="1" x14ac:dyDescent="0.4">
      <c r="I63" s="148"/>
      <c r="J63" s="166" t="s">
        <v>216</v>
      </c>
      <c r="K63" s="809" t="str">
        <f>IF(K60&lt;0,SUM(K56+K60),"ingen ekstern varmepumpe")</f>
        <v>ingen ekstern varmepumpe</v>
      </c>
      <c r="L63" s="892" t="str">
        <f t="shared" ref="L63:N63" si="22">IF(L60&lt;0,SUM(L56+L60),"ingen ekstern varmepumpe")</f>
        <v>ingen ekstern varmepumpe</v>
      </c>
      <c r="M63" s="892" t="str">
        <f t="shared" si="22"/>
        <v>ingen ekstern varmepumpe</v>
      </c>
      <c r="N63" s="893" t="str">
        <f t="shared" si="22"/>
        <v>ingen ekstern varmepumpe</v>
      </c>
    </row>
    <row r="64" spans="3:15" ht="35.25" customHeight="1" thickBot="1" x14ac:dyDescent="0.4"/>
    <row r="65" spans="9:14" ht="35.25" customHeight="1" thickBot="1" x14ac:dyDescent="0.4">
      <c r="I65" s="146" t="s">
        <v>1204</v>
      </c>
      <c r="J65" s="121"/>
      <c r="K65" s="167">
        <v>2023</v>
      </c>
      <c r="L65" s="167">
        <v>2025</v>
      </c>
      <c r="M65" s="167">
        <f t="shared" ref="M65" si="23">L65+5</f>
        <v>2030</v>
      </c>
      <c r="N65" s="168">
        <f t="shared" ref="N65" si="24">M65+5</f>
        <v>2035</v>
      </c>
    </row>
    <row r="66" spans="9:14" ht="35.25" customHeight="1" x14ac:dyDescent="0.35">
      <c r="I66" s="136"/>
      <c r="J66" s="150" t="s">
        <v>1205</v>
      </c>
      <c r="K66" s="796">
        <f>SUM(K67:K68,K25:K26,K29:K30)</f>
        <v>0</v>
      </c>
      <c r="L66" s="796">
        <f>SUM(L67:L68,L25:L26,L29:L30)</f>
        <v>0</v>
      </c>
      <c r="M66" s="796">
        <f>SUM(M67:M68,M25:M26,M29:M30)</f>
        <v>0</v>
      </c>
      <c r="N66" s="797">
        <f>SUM(N67:N68,N25:N26,N29:N30)</f>
        <v>0</v>
      </c>
    </row>
    <row r="67" spans="9:14" ht="35.25" customHeight="1" x14ac:dyDescent="0.35">
      <c r="I67" s="966" t="s">
        <v>182</v>
      </c>
      <c r="J67" s="159" t="s">
        <v>1193</v>
      </c>
      <c r="K67" s="798">
        <f>IFERROR(Renseanlæg!F53*Renseanlæg!J54,"")</f>
        <v>0</v>
      </c>
      <c r="L67" s="798">
        <f>IFERROR(Renseanlæg!G53*Renseanlæg!K54,"")</f>
        <v>0</v>
      </c>
      <c r="M67" s="798">
        <f>IFERROR(Renseanlæg!H53*Renseanlæg!L54,"")</f>
        <v>0</v>
      </c>
      <c r="N67" s="799">
        <f>IFERROR(Renseanlæg!I53*Renseanlæg!M54,"")</f>
        <v>0</v>
      </c>
    </row>
    <row r="68" spans="9:14" ht="35.25" customHeight="1" thickBot="1" x14ac:dyDescent="0.4">
      <c r="I68" s="968"/>
      <c r="J68" s="159" t="s">
        <v>1194</v>
      </c>
      <c r="K68" s="800">
        <f>IFERROR(Renseanlæg!F62*Renseanlæg!J63,"")</f>
        <v>0</v>
      </c>
      <c r="L68" s="800">
        <f>IFERROR(Renseanlæg!G62*Renseanlæg!K63,"")</f>
        <v>0</v>
      </c>
      <c r="M68" s="800">
        <f>IFERROR(Renseanlæg!H62*Renseanlæg!L63,"")</f>
        <v>0</v>
      </c>
      <c r="N68" s="801">
        <f>IFERROR(Renseanlæg!I62*Renseanlæg!M63,"")</f>
        <v>0</v>
      </c>
    </row>
    <row r="69" spans="9:14" ht="35.25" customHeight="1" thickBot="1" x14ac:dyDescent="0.4">
      <c r="I69" s="169"/>
      <c r="J69" s="170" t="s">
        <v>1206</v>
      </c>
      <c r="K69" s="882">
        <f>SUM(K31,K34,K42,K66,)</f>
        <v>0</v>
      </c>
      <c r="L69" s="882">
        <f>SUM(L31,L34,L42,L66,)</f>
        <v>0</v>
      </c>
      <c r="M69" s="882">
        <f>SUM(M31,M34,M42,M66,)</f>
        <v>0</v>
      </c>
      <c r="N69" s="883">
        <f>SUM(N31,N34,N42,N66,)</f>
        <v>0</v>
      </c>
    </row>
    <row r="70" spans="9:14" ht="35.25" customHeight="1" thickBot="1" x14ac:dyDescent="0.4">
      <c r="I70" s="155"/>
    </row>
    <row r="71" spans="9:14" ht="35.25" customHeight="1" thickBot="1" x14ac:dyDescent="0.4">
      <c r="I71" s="969" t="s">
        <v>1520</v>
      </c>
      <c r="J71" s="970"/>
      <c r="K71" s="167">
        <v>2023</v>
      </c>
      <c r="L71" s="167">
        <v>2025</v>
      </c>
      <c r="M71" s="167">
        <f t="shared" ref="M71" si="25">L71+5</f>
        <v>2030</v>
      </c>
      <c r="N71" s="168">
        <f t="shared" ref="N71" si="26">M71+5</f>
        <v>2035</v>
      </c>
    </row>
    <row r="72" spans="9:14" ht="35.25" customHeight="1" x14ac:dyDescent="0.35">
      <c r="I72" s="160"/>
      <c r="J72" s="754" t="s">
        <v>1510</v>
      </c>
      <c r="K72" s="792">
        <f>K67*EF!$F$8/EF!$B$4</f>
        <v>0</v>
      </c>
      <c r="L72" s="792">
        <f>L67*EF!$F$8/EF!$B$4</f>
        <v>0</v>
      </c>
      <c r="M72" s="792">
        <f>M67*EF!$F$8/EF!$B$4</f>
        <v>0</v>
      </c>
      <c r="N72" s="793">
        <f>N67*EF!$F$8/EF!$B$4</f>
        <v>0</v>
      </c>
    </row>
    <row r="73" spans="9:14" ht="35.25" customHeight="1" thickBot="1" x14ac:dyDescent="0.4">
      <c r="I73" s="140"/>
      <c r="J73" s="755" t="s">
        <v>1511</v>
      </c>
      <c r="K73" s="794">
        <f>K27*EF!$F$8/EF!$B$4</f>
        <v>0</v>
      </c>
      <c r="L73" s="794">
        <f>L27*EF!$F$8/EF!$B$4</f>
        <v>0</v>
      </c>
      <c r="M73" s="794">
        <f>M27*EF!$F$8/EF!$B$4</f>
        <v>0</v>
      </c>
      <c r="N73" s="795">
        <f>N27*EF!$F$8/EF!$B$4</f>
        <v>0</v>
      </c>
    </row>
    <row r="74" spans="9:14" x14ac:dyDescent="0.35">
      <c r="I74" s="838" t="s">
        <v>1512</v>
      </c>
    </row>
    <row r="76" spans="9:14" x14ac:dyDescent="0.35">
      <c r="I76" s="336"/>
      <c r="J76" s="305"/>
      <c r="K76" s="306">
        <v>2023</v>
      </c>
      <c r="L76" s="306">
        <v>2025</v>
      </c>
      <c r="M76" s="306">
        <f t="shared" ref="M76" si="27">L76+5</f>
        <v>2030</v>
      </c>
      <c r="N76" s="306">
        <f t="shared" ref="N76" si="28">M76+5</f>
        <v>2035</v>
      </c>
    </row>
    <row r="77" spans="9:14" x14ac:dyDescent="0.35">
      <c r="I77" s="839"/>
      <c r="J77" s="304" t="s">
        <v>1395</v>
      </c>
      <c r="K77" s="841">
        <f>D42</f>
        <v>0</v>
      </c>
      <c r="L77" s="841">
        <f t="shared" ref="L77:N82" si="29">E42</f>
        <v>0</v>
      </c>
      <c r="M77" s="841">
        <f t="shared" si="29"/>
        <v>0</v>
      </c>
      <c r="N77" s="841">
        <f t="shared" si="29"/>
        <v>0</v>
      </c>
    </row>
    <row r="78" spans="9:14" x14ac:dyDescent="0.35">
      <c r="I78" s="839"/>
      <c r="J78" s="304" t="s">
        <v>1396</v>
      </c>
      <c r="K78" s="841">
        <f t="shared" ref="K78:K82" si="30">D43</f>
        <v>0</v>
      </c>
      <c r="L78" s="841">
        <f t="shared" si="29"/>
        <v>0</v>
      </c>
      <c r="M78" s="841">
        <f t="shared" si="29"/>
        <v>0</v>
      </c>
      <c r="N78" s="841">
        <f t="shared" si="29"/>
        <v>0</v>
      </c>
    </row>
    <row r="79" spans="9:14" x14ac:dyDescent="0.35">
      <c r="I79" s="839"/>
      <c r="J79" s="304" t="s">
        <v>1288</v>
      </c>
      <c r="K79" s="841">
        <f t="shared" si="30"/>
        <v>0</v>
      </c>
      <c r="L79" s="841">
        <f t="shared" si="29"/>
        <v>0</v>
      </c>
      <c r="M79" s="841">
        <f t="shared" si="29"/>
        <v>0</v>
      </c>
      <c r="N79" s="841">
        <f t="shared" si="29"/>
        <v>0</v>
      </c>
    </row>
    <row r="80" spans="9:14" x14ac:dyDescent="0.35">
      <c r="I80" s="839"/>
      <c r="J80" s="304" t="s">
        <v>1397</v>
      </c>
      <c r="K80" s="841">
        <f t="shared" si="30"/>
        <v>0</v>
      </c>
      <c r="L80" s="841">
        <f t="shared" si="29"/>
        <v>0</v>
      </c>
      <c r="M80" s="841">
        <f t="shared" si="29"/>
        <v>0</v>
      </c>
      <c r="N80" s="841">
        <f t="shared" si="29"/>
        <v>0</v>
      </c>
    </row>
    <row r="81" spans="9:14" x14ac:dyDescent="0.35">
      <c r="I81" s="839"/>
      <c r="J81" s="304" t="s">
        <v>1403</v>
      </c>
      <c r="K81" s="841" t="str">
        <f t="shared" si="30"/>
        <v/>
      </c>
      <c r="L81" s="841" t="str">
        <f t="shared" si="29"/>
        <v/>
      </c>
      <c r="M81" s="841" t="str">
        <f t="shared" si="29"/>
        <v/>
      </c>
      <c r="N81" s="841" t="str">
        <f t="shared" si="29"/>
        <v/>
      </c>
    </row>
    <row r="82" spans="9:14" x14ac:dyDescent="0.35">
      <c r="I82" s="336"/>
      <c r="J82" s="304" t="s">
        <v>1404</v>
      </c>
      <c r="K82" s="841" t="str">
        <f t="shared" si="30"/>
        <v/>
      </c>
      <c r="L82" s="841" t="str">
        <f t="shared" si="29"/>
        <v/>
      </c>
      <c r="M82" s="841" t="str">
        <f t="shared" si="29"/>
        <v/>
      </c>
      <c r="N82" s="841" t="str">
        <f t="shared" si="29"/>
        <v/>
      </c>
    </row>
    <row r="83" spans="9:14" x14ac:dyDescent="0.35">
      <c r="I83" s="336"/>
      <c r="K83" s="840" t="str">
        <f>D47</f>
        <v/>
      </c>
      <c r="L83" s="840" t="str">
        <f>E47</f>
        <v/>
      </c>
      <c r="M83" s="840" t="str">
        <f>F47</f>
        <v/>
      </c>
      <c r="N83" s="840" t="str">
        <f>G47</f>
        <v/>
      </c>
    </row>
    <row r="84" spans="9:14" x14ac:dyDescent="0.35">
      <c r="I84" s="336"/>
      <c r="J84" s="336"/>
      <c r="K84" s="336"/>
      <c r="L84" s="336"/>
      <c r="M84" s="336"/>
      <c r="N84" s="336"/>
    </row>
    <row r="85" spans="9:14" x14ac:dyDescent="0.35">
      <c r="I85" s="336"/>
      <c r="J85" s="336"/>
      <c r="K85" s="336"/>
      <c r="L85" s="336"/>
      <c r="M85" s="336"/>
      <c r="N85" s="336"/>
    </row>
    <row r="86" spans="9:14" x14ac:dyDescent="0.35">
      <c r="I86" s="336"/>
      <c r="J86" s="336"/>
      <c r="K86" s="336"/>
      <c r="L86" s="336"/>
      <c r="M86" s="336"/>
      <c r="N86" s="336"/>
    </row>
    <row r="87" spans="9:14" x14ac:dyDescent="0.35">
      <c r="I87" s="336"/>
      <c r="J87" s="336"/>
      <c r="K87" s="336"/>
      <c r="L87" s="336"/>
      <c r="M87" s="336"/>
      <c r="N87" s="336"/>
    </row>
    <row r="88" spans="9:14" x14ac:dyDescent="0.35">
      <c r="I88" s="336"/>
      <c r="J88" s="336"/>
      <c r="K88" s="336"/>
      <c r="L88" s="336"/>
      <c r="M88" s="336"/>
      <c r="N88" s="336"/>
    </row>
    <row r="89" spans="9:14" x14ac:dyDescent="0.35">
      <c r="I89" s="336"/>
      <c r="J89" s="336"/>
      <c r="K89" s="336"/>
      <c r="L89" s="336"/>
      <c r="M89" s="336"/>
      <c r="N89" s="336"/>
    </row>
    <row r="90" spans="9:14" x14ac:dyDescent="0.35">
      <c r="I90" s="336"/>
      <c r="J90" s="336"/>
      <c r="K90" s="336"/>
      <c r="L90" s="336"/>
      <c r="M90" s="336"/>
      <c r="N90" s="336"/>
    </row>
    <row r="91" spans="9:14" x14ac:dyDescent="0.35">
      <c r="I91" s="3"/>
      <c r="J91" s="3"/>
      <c r="K91" s="3"/>
      <c r="L91" s="3"/>
      <c r="M91" s="3"/>
      <c r="N91" s="3"/>
    </row>
    <row r="92" spans="9:14" x14ac:dyDescent="0.35">
      <c r="I92" s="3"/>
      <c r="J92" s="3"/>
      <c r="K92" s="3"/>
      <c r="L92" s="3"/>
      <c r="M92" s="3"/>
      <c r="N92" s="3"/>
    </row>
  </sheetData>
  <sheetProtection algorithmName="SHA-512" hashValue="9rqCnHlnYALiUD5RTOznpcCjbR3TE2FH5Am4LWrWrLT9xq9jUVLwNdhRO6rNab4bfpp00GrskXK2WEVXKqCyBA==" saltValue="85BiaLFRlFe9ROdiPcfddQ==" spinCount="100000" sheet="1" formatCells="0"/>
  <mergeCells count="9">
    <mergeCell ref="I71:J71"/>
    <mergeCell ref="P23:R25"/>
    <mergeCell ref="I67:I68"/>
    <mergeCell ref="I61:I62"/>
    <mergeCell ref="I23:J23"/>
    <mergeCell ref="I43:I54"/>
    <mergeCell ref="I34:I41"/>
    <mergeCell ref="I24:I30"/>
    <mergeCell ref="I31:I33"/>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782FC-DC9E-4E61-9389-3D4F1FCF4ACC}">
  <sheetPr codeName="Sheet9">
    <tabColor theme="0" tint="-0.499984740745262"/>
  </sheetPr>
  <dimension ref="A1:K150"/>
  <sheetViews>
    <sheetView topLeftCell="A26" zoomScale="70" workbookViewId="0">
      <selection activeCell="C46" sqref="C46"/>
    </sheetView>
  </sheetViews>
  <sheetFormatPr defaultColWidth="8.81640625" defaultRowHeight="14.5" x14ac:dyDescent="0.35"/>
  <cols>
    <col min="1" max="1" width="42.26953125" customWidth="1"/>
    <col min="2" max="2" width="19.26953125" customWidth="1"/>
    <col min="3" max="3" width="26.1796875" customWidth="1"/>
    <col min="4" max="4" width="31.7265625" customWidth="1"/>
    <col min="5" max="5" width="33" customWidth="1"/>
    <col min="6" max="6" width="30.26953125" customWidth="1"/>
    <col min="7" max="7" width="29" customWidth="1"/>
    <col min="8" max="10" width="26.1796875" customWidth="1"/>
    <col min="11" max="14" width="14.81640625" bestFit="1" customWidth="1"/>
  </cols>
  <sheetData>
    <row r="1" spans="1:7" ht="18.5" x14ac:dyDescent="0.45">
      <c r="A1" s="24" t="s">
        <v>234</v>
      </c>
      <c r="B1" s="13" t="s">
        <v>235</v>
      </c>
      <c r="C1" s="25" t="s">
        <v>236</v>
      </c>
      <c r="D1" s="4"/>
      <c r="F1" s="6"/>
      <c r="G1" s="6"/>
    </row>
    <row r="2" spans="1:7" x14ac:dyDescent="0.35">
      <c r="A2" s="26" t="s">
        <v>237</v>
      </c>
      <c r="B2" s="27">
        <v>1</v>
      </c>
      <c r="C2" s="28" t="s">
        <v>238</v>
      </c>
    </row>
    <row r="3" spans="1:7" x14ac:dyDescent="0.35">
      <c r="A3" s="29" t="s">
        <v>239</v>
      </c>
      <c r="B3" s="10">
        <v>28</v>
      </c>
      <c r="C3" s="30" t="s">
        <v>238</v>
      </c>
      <c r="E3" s="6" t="s">
        <v>240</v>
      </c>
      <c r="F3">
        <v>0.72</v>
      </c>
      <c r="G3" t="s">
        <v>241</v>
      </c>
    </row>
    <row r="4" spans="1:7" x14ac:dyDescent="0.35">
      <c r="A4" s="31" t="s">
        <v>242</v>
      </c>
      <c r="B4" s="21">
        <v>273</v>
      </c>
      <c r="C4" s="22" t="s">
        <v>238</v>
      </c>
      <c r="E4" s="83" t="s">
        <v>243</v>
      </c>
      <c r="F4">
        <v>0.65</v>
      </c>
    </row>
    <row r="7" spans="1:7" x14ac:dyDescent="0.35">
      <c r="E7" t="s">
        <v>1313</v>
      </c>
      <c r="F7">
        <v>277.77800000000002</v>
      </c>
      <c r="G7" t="s">
        <v>1314</v>
      </c>
    </row>
    <row r="8" spans="1:7" ht="18.5" x14ac:dyDescent="0.45">
      <c r="A8" s="32" t="s">
        <v>244</v>
      </c>
      <c r="B8" s="13" t="s">
        <v>245</v>
      </c>
      <c r="C8" s="33" t="s">
        <v>236</v>
      </c>
      <c r="E8" t="s">
        <v>1360</v>
      </c>
      <c r="F8">
        <v>265</v>
      </c>
      <c r="G8" t="s">
        <v>238</v>
      </c>
    </row>
    <row r="9" spans="1:7" x14ac:dyDescent="0.35">
      <c r="A9" s="34" t="s">
        <v>83</v>
      </c>
      <c r="B9" s="27">
        <f>9.13*10^3</f>
        <v>9130</v>
      </c>
      <c r="C9" s="35" t="s">
        <v>246</v>
      </c>
    </row>
    <row r="10" spans="1:7" x14ac:dyDescent="0.35">
      <c r="A10" s="36" t="s">
        <v>194</v>
      </c>
      <c r="B10" s="10">
        <f>6.39*10^0</f>
        <v>6.39</v>
      </c>
      <c r="C10" s="37" t="s">
        <v>246</v>
      </c>
    </row>
    <row r="11" spans="1:7" x14ac:dyDescent="0.35">
      <c r="A11" s="34" t="s">
        <v>78</v>
      </c>
      <c r="B11" s="27">
        <f>9.96*10^3</f>
        <v>9960</v>
      </c>
      <c r="C11" s="35" t="s">
        <v>246</v>
      </c>
    </row>
    <row r="12" spans="1:7" x14ac:dyDescent="0.35">
      <c r="A12" s="36" t="s">
        <v>247</v>
      </c>
      <c r="B12" s="10">
        <f>11.1*10^3</f>
        <v>11100</v>
      </c>
      <c r="C12" s="37" t="s">
        <v>246</v>
      </c>
    </row>
    <row r="13" spans="1:7" x14ac:dyDescent="0.35">
      <c r="A13" s="34" t="s">
        <v>48</v>
      </c>
      <c r="B13" s="27">
        <f>10.1*10^3</f>
        <v>10100</v>
      </c>
      <c r="C13" s="35" t="s">
        <v>246</v>
      </c>
    </row>
    <row r="14" spans="1:7" x14ac:dyDescent="0.35">
      <c r="A14" s="36" t="s">
        <v>63</v>
      </c>
      <c r="B14" s="10">
        <f>4.03*10^3</f>
        <v>4030.0000000000005</v>
      </c>
      <c r="C14" s="37" t="s">
        <v>248</v>
      </c>
    </row>
    <row r="15" spans="1:7" x14ac:dyDescent="0.35">
      <c r="A15" s="34" t="s">
        <v>43</v>
      </c>
      <c r="B15" s="27">
        <f>11*10^0</f>
        <v>11</v>
      </c>
      <c r="C15" s="35" t="s">
        <v>246</v>
      </c>
    </row>
    <row r="16" spans="1:7" x14ac:dyDescent="0.35">
      <c r="A16" s="36" t="s">
        <v>249</v>
      </c>
      <c r="B16" s="10">
        <f>12.8*10^3</f>
        <v>12800</v>
      </c>
      <c r="C16" s="37" t="s">
        <v>248</v>
      </c>
    </row>
    <row r="17" spans="1:10" x14ac:dyDescent="0.35">
      <c r="A17" s="34" t="s">
        <v>60</v>
      </c>
      <c r="B17" s="27">
        <f>2.89*10^3</f>
        <v>2890</v>
      </c>
      <c r="C17" s="35" t="s">
        <v>248</v>
      </c>
    </row>
    <row r="18" spans="1:10" x14ac:dyDescent="0.35">
      <c r="A18" s="38" t="s">
        <v>57</v>
      </c>
      <c r="B18" s="20">
        <f>4.86*10^3</f>
        <v>4860</v>
      </c>
      <c r="C18" s="39" t="s">
        <v>248</v>
      </c>
    </row>
    <row r="20" spans="1:10" x14ac:dyDescent="0.35">
      <c r="A20" t="s">
        <v>250</v>
      </c>
    </row>
    <row r="22" spans="1:10" ht="18.5" x14ac:dyDescent="0.45">
      <c r="A22" s="32" t="s">
        <v>251</v>
      </c>
      <c r="B22" s="13" t="s">
        <v>236</v>
      </c>
      <c r="C22" s="40" t="s">
        <v>252</v>
      </c>
      <c r="D22" s="41" t="s">
        <v>252</v>
      </c>
      <c r="E22" s="41" t="s">
        <v>253</v>
      </c>
      <c r="F22" s="40" t="s">
        <v>253</v>
      </c>
      <c r="G22" s="40" t="s">
        <v>254</v>
      </c>
      <c r="H22" s="40" t="s">
        <v>255</v>
      </c>
      <c r="I22" s="40" t="s">
        <v>256</v>
      </c>
      <c r="J22" s="14" t="s">
        <v>257</v>
      </c>
    </row>
    <row r="23" spans="1:10" ht="18.5" x14ac:dyDescent="0.45">
      <c r="C23" s="75" t="s">
        <v>182</v>
      </c>
      <c r="D23" s="75" t="s">
        <v>183</v>
      </c>
      <c r="E23" s="75" t="s">
        <v>182</v>
      </c>
      <c r="F23" s="75" t="s">
        <v>183</v>
      </c>
      <c r="G23" s="75" t="s">
        <v>182</v>
      </c>
      <c r="H23" s="75" t="s">
        <v>183</v>
      </c>
      <c r="I23" s="75" t="s">
        <v>182</v>
      </c>
      <c r="J23" s="75" t="s">
        <v>183</v>
      </c>
    </row>
    <row r="24" spans="1:10" x14ac:dyDescent="0.35">
      <c r="A24" s="34" t="s">
        <v>83</v>
      </c>
      <c r="B24" s="42" t="s">
        <v>258</v>
      </c>
      <c r="C24" s="44">
        <v>2.4122153463087246</v>
      </c>
      <c r="D24" s="44">
        <v>0.60663999999999996</v>
      </c>
      <c r="E24" s="44">
        <v>2.4122153463087246</v>
      </c>
      <c r="F24" s="44">
        <v>0.60663999999999996</v>
      </c>
      <c r="G24" s="44">
        <v>2.4122153463087246</v>
      </c>
      <c r="H24" s="44">
        <v>0.60663999999999996</v>
      </c>
      <c r="I24" s="44">
        <v>2.4122153463087246</v>
      </c>
      <c r="J24" s="201">
        <v>0.60663999999999996</v>
      </c>
    </row>
    <row r="25" spans="1:10" x14ac:dyDescent="0.35">
      <c r="A25" s="36" t="s">
        <v>194</v>
      </c>
      <c r="B25" s="19" t="s">
        <v>259</v>
      </c>
      <c r="C25" s="202">
        <v>1.423888888888889E-3</v>
      </c>
      <c r="D25" s="202">
        <v>0.18387583333333335</v>
      </c>
      <c r="E25" s="202">
        <v>1.423888888888889E-3</v>
      </c>
      <c r="F25" s="202">
        <v>0.18387583333333335</v>
      </c>
      <c r="G25" s="202">
        <v>1.423888888888889E-3</v>
      </c>
      <c r="H25" s="202">
        <v>0.18387583333333335</v>
      </c>
      <c r="I25" s="202">
        <v>1.4E-3</v>
      </c>
      <c r="J25" s="203">
        <v>0.184</v>
      </c>
    </row>
    <row r="26" spans="1:10" x14ac:dyDescent="0.35">
      <c r="A26" s="34" t="s">
        <v>78</v>
      </c>
      <c r="B26" s="42" t="s">
        <v>258</v>
      </c>
      <c r="C26" s="44">
        <v>2.6911905369127518</v>
      </c>
      <c r="D26" s="44">
        <v>0.62409000000000003</v>
      </c>
      <c r="E26" s="44">
        <v>2.6911905369127518</v>
      </c>
      <c r="F26" s="44">
        <v>0.62409000000000003</v>
      </c>
      <c r="G26" s="44">
        <v>2.6911905369127518</v>
      </c>
      <c r="H26" s="44">
        <v>0.62409000000000003</v>
      </c>
      <c r="I26" s="44">
        <v>2.6911905369127518</v>
      </c>
      <c r="J26" s="201">
        <v>0.62409000000000003</v>
      </c>
    </row>
    <row r="27" spans="1:10" x14ac:dyDescent="0.35">
      <c r="A27" s="36" t="s">
        <v>247</v>
      </c>
      <c r="B27" s="19" t="s">
        <v>258</v>
      </c>
      <c r="C27" s="202">
        <v>3.1606230925503356</v>
      </c>
      <c r="D27" s="202">
        <v>0.69538999999999995</v>
      </c>
      <c r="E27" s="202">
        <v>3.16</v>
      </c>
      <c r="F27" s="202">
        <v>0.69499999999999995</v>
      </c>
      <c r="G27" s="202">
        <v>3.16</v>
      </c>
      <c r="H27" s="202">
        <v>0.69499999999999995</v>
      </c>
      <c r="I27" s="202">
        <v>3.16</v>
      </c>
      <c r="J27" s="203">
        <v>0.69499999999999995</v>
      </c>
    </row>
    <row r="28" spans="1:10" x14ac:dyDescent="0.35">
      <c r="A28" s="34" t="s">
        <v>48</v>
      </c>
      <c r="B28" s="42" t="s">
        <v>258</v>
      </c>
      <c r="C28" s="44">
        <v>2.6890577785234901</v>
      </c>
      <c r="D28" s="44">
        <v>0.62665000000000004</v>
      </c>
      <c r="E28" s="44">
        <v>2.69</v>
      </c>
      <c r="F28" s="44">
        <v>0.627</v>
      </c>
      <c r="G28" s="44">
        <v>2.69</v>
      </c>
      <c r="H28" s="44">
        <v>0.627</v>
      </c>
      <c r="I28" s="44">
        <v>2.69</v>
      </c>
      <c r="J28" s="201">
        <v>0.627</v>
      </c>
    </row>
    <row r="29" spans="1:10" x14ac:dyDescent="0.35">
      <c r="A29" s="36" t="s">
        <v>63</v>
      </c>
      <c r="B29" s="19" t="s">
        <v>260</v>
      </c>
      <c r="C29" s="202">
        <v>28.013999999999999</v>
      </c>
      <c r="D29" s="202">
        <v>68.650000000000006</v>
      </c>
      <c r="E29" s="202">
        <v>28</v>
      </c>
      <c r="F29" s="202">
        <v>68.7</v>
      </c>
      <c r="G29" s="202">
        <v>28</v>
      </c>
      <c r="H29" s="202">
        <v>68.7</v>
      </c>
      <c r="I29" s="202">
        <v>28</v>
      </c>
      <c r="J29" s="203">
        <v>68.7</v>
      </c>
    </row>
    <row r="30" spans="1:10" x14ac:dyDescent="0.35">
      <c r="A30" s="34" t="s">
        <v>43</v>
      </c>
      <c r="B30" s="42" t="s">
        <v>259</v>
      </c>
      <c r="C30" s="44">
        <v>1.2421005098076061</v>
      </c>
      <c r="D30" s="44">
        <v>0.26158627499999998</v>
      </c>
      <c r="E30" s="44">
        <v>1.0183686328113346</v>
      </c>
      <c r="F30" s="44">
        <v>0.2475729166666667</v>
      </c>
      <c r="G30" s="44">
        <v>1.4055555555555555E-3</v>
      </c>
      <c r="H30" s="44">
        <v>0.18387583333333335</v>
      </c>
      <c r="I30" s="44">
        <v>1.4055555555555555E-3</v>
      </c>
      <c r="J30" s="44">
        <v>0.18387583333333335</v>
      </c>
    </row>
    <row r="31" spans="1:10" x14ac:dyDescent="0.35">
      <c r="A31" s="36" t="s">
        <v>249</v>
      </c>
      <c r="B31" s="19" t="s">
        <v>260</v>
      </c>
      <c r="C31" s="204">
        <v>3376.9760199999987</v>
      </c>
      <c r="D31" s="202">
        <v>0</v>
      </c>
      <c r="E31" s="202">
        <v>3377</v>
      </c>
      <c r="F31" s="202">
        <v>0</v>
      </c>
      <c r="G31" s="202">
        <v>3377</v>
      </c>
      <c r="H31" s="202">
        <v>0</v>
      </c>
      <c r="I31" s="202">
        <v>3377</v>
      </c>
      <c r="J31" s="203">
        <v>0</v>
      </c>
    </row>
    <row r="32" spans="1:10" x14ac:dyDescent="0.35">
      <c r="A32" s="34" t="s">
        <v>60</v>
      </c>
      <c r="B32" s="42" t="s">
        <v>260</v>
      </c>
      <c r="C32" s="44">
        <v>18.586050000000004</v>
      </c>
      <c r="D32" s="44">
        <v>30.4</v>
      </c>
      <c r="E32" s="44">
        <v>18.600000000000001</v>
      </c>
      <c r="F32" s="44">
        <v>30.4</v>
      </c>
      <c r="G32" s="44">
        <v>18.600000000000001</v>
      </c>
      <c r="H32" s="44">
        <v>30.4</v>
      </c>
      <c r="I32" s="44">
        <v>18.600000000000001</v>
      </c>
      <c r="J32" s="201">
        <v>30.4</v>
      </c>
    </row>
    <row r="33" spans="1:10" x14ac:dyDescent="0.35">
      <c r="A33" s="38" t="s">
        <v>57</v>
      </c>
      <c r="B33" s="43" t="s">
        <v>260</v>
      </c>
      <c r="C33" s="205">
        <v>20.58</v>
      </c>
      <c r="D33" s="205">
        <v>177</v>
      </c>
      <c r="E33" s="205">
        <v>20.6</v>
      </c>
      <c r="F33" s="205">
        <v>177</v>
      </c>
      <c r="G33" s="205">
        <v>20.6</v>
      </c>
      <c r="H33" s="205">
        <v>177</v>
      </c>
      <c r="I33" s="205">
        <v>20.6</v>
      </c>
      <c r="J33" s="206">
        <v>177</v>
      </c>
    </row>
    <row r="35" spans="1:10" x14ac:dyDescent="0.35">
      <c r="A35" t="s">
        <v>250</v>
      </c>
    </row>
    <row r="37" spans="1:10" ht="37" x14ac:dyDescent="0.45">
      <c r="A37" s="32" t="s">
        <v>261</v>
      </c>
      <c r="B37" s="13" t="s">
        <v>236</v>
      </c>
      <c r="C37" s="40" t="s">
        <v>262</v>
      </c>
      <c r="D37" s="40" t="s">
        <v>262</v>
      </c>
      <c r="E37" s="40" t="s">
        <v>263</v>
      </c>
      <c r="F37" s="40" t="s">
        <v>263</v>
      </c>
      <c r="G37" s="40" t="s">
        <v>264</v>
      </c>
      <c r="H37" s="40" t="s">
        <v>264</v>
      </c>
      <c r="I37" s="40" t="s">
        <v>265</v>
      </c>
      <c r="J37" s="40" t="s">
        <v>265</v>
      </c>
    </row>
    <row r="38" spans="1:10" ht="18.5" x14ac:dyDescent="0.35">
      <c r="A38" s="76"/>
      <c r="B38" s="76"/>
      <c r="C38" s="77" t="s">
        <v>182</v>
      </c>
      <c r="D38" s="77" t="s">
        <v>183</v>
      </c>
      <c r="E38" s="77" t="s">
        <v>182</v>
      </c>
      <c r="F38" s="77" t="s">
        <v>183</v>
      </c>
      <c r="G38" s="77" t="s">
        <v>182</v>
      </c>
      <c r="H38" s="77" t="s">
        <v>183</v>
      </c>
      <c r="I38" s="77" t="s">
        <v>182</v>
      </c>
      <c r="J38" s="77" t="s">
        <v>183</v>
      </c>
    </row>
    <row r="39" spans="1:10" x14ac:dyDescent="0.35">
      <c r="A39" t="s">
        <v>51</v>
      </c>
    </row>
    <row r="40" spans="1:10" x14ac:dyDescent="0.35">
      <c r="A40" s="34" t="s">
        <v>83</v>
      </c>
      <c r="B40" s="42" t="s">
        <v>266</v>
      </c>
      <c r="C40" s="44">
        <f>IF(INDEX($B$24:$B$33,MATCH($A40,$A$24:$A$33,0))="L",1000,1)*INDEX(C$24:C$33,MATCH($A40,$A$24:$A$33,0))/INDEX($B$9:$B$18,MATCH($A40,$A$9:$A$18,0))</f>
        <v>0.26420759543359529</v>
      </c>
      <c r="D40" s="44">
        <f t="shared" ref="C40:J49" si="0">IF(INDEX($B$24:$B$33,MATCH($A40,$A$24:$A$33,0))="L",1000,1)*INDEX(D$24:D$33,MATCH($A40,$A$24:$A$33,0))/INDEX($B$9:$B$18,MATCH($A40,$A$9:$A$18,0))</f>
        <v>6.6444687842278208E-2</v>
      </c>
      <c r="E40" s="44">
        <f t="shared" si="0"/>
        <v>0.26420759543359529</v>
      </c>
      <c r="F40" s="44">
        <f t="shared" si="0"/>
        <v>6.6444687842278208E-2</v>
      </c>
      <c r="G40" s="44">
        <f t="shared" si="0"/>
        <v>0.26420759543359529</v>
      </c>
      <c r="H40" s="44">
        <f t="shared" si="0"/>
        <v>6.6444687842278208E-2</v>
      </c>
      <c r="I40" s="44">
        <f t="shared" si="0"/>
        <v>0.26420759543359529</v>
      </c>
      <c r="J40" s="44">
        <f t="shared" si="0"/>
        <v>6.6444687842278208E-2</v>
      </c>
    </row>
    <row r="41" spans="1:10" x14ac:dyDescent="0.35">
      <c r="A41" s="36" t="s">
        <v>194</v>
      </c>
      <c r="B41" s="36" t="s">
        <v>266</v>
      </c>
      <c r="C41" s="36">
        <f t="shared" si="0"/>
        <v>2.2283081203269001E-4</v>
      </c>
      <c r="D41" s="36">
        <f t="shared" si="0"/>
        <v>2.877556077203965E-2</v>
      </c>
      <c r="E41" s="36">
        <f t="shared" si="0"/>
        <v>2.2283081203269001E-4</v>
      </c>
      <c r="F41" s="36">
        <f t="shared" si="0"/>
        <v>2.877556077203965E-2</v>
      </c>
      <c r="G41" s="36">
        <f t="shared" si="0"/>
        <v>2.2283081203269001E-4</v>
      </c>
      <c r="H41" s="36">
        <f t="shared" si="0"/>
        <v>2.877556077203965E-2</v>
      </c>
      <c r="I41" s="36">
        <f t="shared" si="0"/>
        <v>2.1909233176838812E-4</v>
      </c>
      <c r="J41" s="36">
        <f t="shared" si="0"/>
        <v>2.8794992175273867E-2</v>
      </c>
    </row>
    <row r="42" spans="1:10" x14ac:dyDescent="0.35">
      <c r="A42" s="34" t="s">
        <v>78</v>
      </c>
      <c r="B42" s="42" t="s">
        <v>266</v>
      </c>
      <c r="C42" s="44">
        <f t="shared" si="0"/>
        <v>0.27019985310368994</v>
      </c>
      <c r="D42" s="44">
        <f t="shared" si="0"/>
        <v>6.265963855421687E-2</v>
      </c>
      <c r="E42" s="44">
        <f t="shared" si="0"/>
        <v>0.27019985310368994</v>
      </c>
      <c r="F42" s="44">
        <f t="shared" si="0"/>
        <v>6.265963855421687E-2</v>
      </c>
      <c r="G42" s="44">
        <f t="shared" si="0"/>
        <v>0.27019985310368994</v>
      </c>
      <c r="H42" s="44">
        <f t="shared" si="0"/>
        <v>6.265963855421687E-2</v>
      </c>
      <c r="I42" s="44">
        <f t="shared" si="0"/>
        <v>0.27019985310368994</v>
      </c>
      <c r="J42" s="44">
        <f t="shared" si="0"/>
        <v>6.265963855421687E-2</v>
      </c>
    </row>
    <row r="43" spans="1:10" x14ac:dyDescent="0.35">
      <c r="A43" s="36" t="s">
        <v>247</v>
      </c>
      <c r="B43" s="36" t="s">
        <v>266</v>
      </c>
      <c r="C43" s="36">
        <f t="shared" si="0"/>
        <v>0.28474081914867888</v>
      </c>
      <c r="D43" s="36">
        <f t="shared" si="0"/>
        <v>6.2647747747747742E-2</v>
      </c>
      <c r="E43" s="36">
        <f t="shared" si="0"/>
        <v>0.28468468468468466</v>
      </c>
      <c r="F43" s="36">
        <f t="shared" si="0"/>
        <v>6.2612612612612611E-2</v>
      </c>
      <c r="G43" s="36">
        <f t="shared" si="0"/>
        <v>0.28468468468468466</v>
      </c>
      <c r="H43" s="36">
        <f t="shared" si="0"/>
        <v>6.2612612612612611E-2</v>
      </c>
      <c r="I43" s="36">
        <f t="shared" si="0"/>
        <v>0.28468468468468466</v>
      </c>
      <c r="J43" s="36">
        <f t="shared" si="0"/>
        <v>6.2612612612612611E-2</v>
      </c>
    </row>
    <row r="44" spans="1:10" x14ac:dyDescent="0.35">
      <c r="A44" s="34" t="s">
        <v>48</v>
      </c>
      <c r="B44" s="42" t="s">
        <v>266</v>
      </c>
      <c r="C44" s="44">
        <f t="shared" si="0"/>
        <v>0.26624334440826636</v>
      </c>
      <c r="D44" s="44">
        <f t="shared" si="0"/>
        <v>6.2044554455445551E-2</v>
      </c>
      <c r="E44" s="44">
        <f t="shared" si="0"/>
        <v>0.26633663366336635</v>
      </c>
      <c r="F44" s="44">
        <f t="shared" si="0"/>
        <v>6.2079207920792079E-2</v>
      </c>
      <c r="G44" s="44">
        <f t="shared" si="0"/>
        <v>0.26633663366336635</v>
      </c>
      <c r="H44" s="44">
        <f t="shared" si="0"/>
        <v>6.2079207920792079E-2</v>
      </c>
      <c r="I44" s="44">
        <f t="shared" si="0"/>
        <v>0.26633663366336635</v>
      </c>
      <c r="J44" s="44">
        <f t="shared" si="0"/>
        <v>6.2079207920792079E-2</v>
      </c>
    </row>
    <row r="45" spans="1:10" x14ac:dyDescent="0.35">
      <c r="A45" s="36" t="s">
        <v>63</v>
      </c>
      <c r="B45" s="36" t="s">
        <v>266</v>
      </c>
      <c r="C45" s="36">
        <f t="shared" si="0"/>
        <v>6.951364764267989E-3</v>
      </c>
      <c r="D45" s="36">
        <f t="shared" si="0"/>
        <v>1.7034739454094294E-2</v>
      </c>
      <c r="E45" s="36">
        <f t="shared" si="0"/>
        <v>6.9478908188585599E-3</v>
      </c>
      <c r="F45" s="36">
        <f t="shared" si="0"/>
        <v>1.7047146401985111E-2</v>
      </c>
      <c r="G45" s="36">
        <f t="shared" si="0"/>
        <v>6.9478908188585599E-3</v>
      </c>
      <c r="H45" s="36">
        <f t="shared" si="0"/>
        <v>1.7047146401985111E-2</v>
      </c>
      <c r="I45" s="36">
        <f t="shared" si="0"/>
        <v>6.9478908188585599E-3</v>
      </c>
      <c r="J45" s="36">
        <f t="shared" si="0"/>
        <v>1.7047146401985111E-2</v>
      </c>
    </row>
    <row r="46" spans="1:10" x14ac:dyDescent="0.35">
      <c r="A46" s="34" t="s">
        <v>43</v>
      </c>
      <c r="B46" s="42" t="s">
        <v>266</v>
      </c>
      <c r="C46" s="200">
        <f t="shared" si="0"/>
        <v>0.11291822816432782</v>
      </c>
      <c r="D46" s="200">
        <f t="shared" si="0"/>
        <v>2.3780570454545454E-2</v>
      </c>
      <c r="E46" s="200">
        <f t="shared" si="0"/>
        <v>9.2578966619212236E-2</v>
      </c>
      <c r="F46" s="200">
        <f t="shared" si="0"/>
        <v>2.2506628787878791E-2</v>
      </c>
      <c r="G46" s="200">
        <f t="shared" si="0"/>
        <v>1.2777777777777776E-4</v>
      </c>
      <c r="H46" s="200">
        <f t="shared" si="0"/>
        <v>1.6715984848484852E-2</v>
      </c>
      <c r="I46" s="200">
        <f t="shared" si="0"/>
        <v>1.2777777777777776E-4</v>
      </c>
      <c r="J46" s="200">
        <f t="shared" si="0"/>
        <v>1.6715984848484852E-2</v>
      </c>
    </row>
    <row r="47" spans="1:10" x14ac:dyDescent="0.35">
      <c r="A47" s="36" t="s">
        <v>249</v>
      </c>
      <c r="B47" s="36" t="s">
        <v>266</v>
      </c>
      <c r="C47" s="36">
        <f t="shared" si="0"/>
        <v>0.26382625156249989</v>
      </c>
      <c r="D47" s="36">
        <f t="shared" si="0"/>
        <v>0</v>
      </c>
      <c r="E47" s="36">
        <f t="shared" si="0"/>
        <v>0.26382812500000002</v>
      </c>
      <c r="F47" s="36">
        <f t="shared" si="0"/>
        <v>0</v>
      </c>
      <c r="G47" s="36">
        <f t="shared" si="0"/>
        <v>0.26382812500000002</v>
      </c>
      <c r="H47" s="36">
        <f t="shared" si="0"/>
        <v>0</v>
      </c>
      <c r="I47" s="36">
        <f t="shared" si="0"/>
        <v>0.26382812500000002</v>
      </c>
      <c r="J47" s="36">
        <f t="shared" si="0"/>
        <v>0</v>
      </c>
    </row>
    <row r="48" spans="1:10" x14ac:dyDescent="0.35">
      <c r="A48" s="34" t="s">
        <v>60</v>
      </c>
      <c r="B48" s="42" t="s">
        <v>266</v>
      </c>
      <c r="C48" s="44">
        <f t="shared" si="0"/>
        <v>6.4311591695501739E-3</v>
      </c>
      <c r="D48" s="44">
        <f t="shared" si="0"/>
        <v>1.0519031141868512E-2</v>
      </c>
      <c r="E48" s="44">
        <f t="shared" si="0"/>
        <v>6.4359861591695502E-3</v>
      </c>
      <c r="F48" s="44">
        <f t="shared" si="0"/>
        <v>1.0519031141868512E-2</v>
      </c>
      <c r="G48" s="44">
        <f t="shared" si="0"/>
        <v>6.4359861591695502E-3</v>
      </c>
      <c r="H48" s="44">
        <f t="shared" si="0"/>
        <v>1.0519031141868512E-2</v>
      </c>
      <c r="I48" s="44">
        <f t="shared" si="0"/>
        <v>6.4359861591695502E-3</v>
      </c>
      <c r="J48" s="44">
        <f t="shared" si="0"/>
        <v>1.0519031141868512E-2</v>
      </c>
    </row>
    <row r="49" spans="1:10" x14ac:dyDescent="0.35">
      <c r="A49" s="38" t="s">
        <v>57</v>
      </c>
      <c r="B49" s="18" t="s">
        <v>266</v>
      </c>
      <c r="C49" s="44">
        <f t="shared" si="0"/>
        <v>4.2345679012345677E-3</v>
      </c>
      <c r="D49" s="44">
        <f t="shared" si="0"/>
        <v>3.6419753086419752E-2</v>
      </c>
      <c r="E49" s="44">
        <f t="shared" si="0"/>
        <v>4.2386831275720164E-3</v>
      </c>
      <c r="F49" s="44">
        <f t="shared" si="0"/>
        <v>3.6419753086419752E-2</v>
      </c>
      <c r="G49" s="44">
        <f t="shared" si="0"/>
        <v>4.2386831275720164E-3</v>
      </c>
      <c r="H49" s="44">
        <f t="shared" si="0"/>
        <v>3.6419753086419752E-2</v>
      </c>
      <c r="I49" s="44">
        <f t="shared" si="0"/>
        <v>4.2386831275720164E-3</v>
      </c>
      <c r="J49" s="44">
        <f t="shared" si="0"/>
        <v>3.6419753086419752E-2</v>
      </c>
    </row>
    <row r="50" spans="1:10" x14ac:dyDescent="0.35">
      <c r="A50" t="s">
        <v>250</v>
      </c>
    </row>
    <row r="52" spans="1:10" ht="37" x14ac:dyDescent="0.45">
      <c r="A52" s="24" t="s">
        <v>267</v>
      </c>
      <c r="B52" s="13" t="s">
        <v>268</v>
      </c>
      <c r="C52" s="40" t="s">
        <v>269</v>
      </c>
      <c r="D52" s="40" t="s">
        <v>270</v>
      </c>
      <c r="E52" s="40" t="s">
        <v>271</v>
      </c>
      <c r="F52" s="40" t="s">
        <v>272</v>
      </c>
      <c r="G52" s="40" t="s">
        <v>273</v>
      </c>
      <c r="H52" s="40" t="s">
        <v>274</v>
      </c>
      <c r="I52" s="40" t="s">
        <v>1414</v>
      </c>
      <c r="J52" s="14" t="s">
        <v>275</v>
      </c>
    </row>
    <row r="53" spans="1:10" x14ac:dyDescent="0.35">
      <c r="A53" s="45" t="s">
        <v>192</v>
      </c>
      <c r="B53" s="46">
        <v>1.25</v>
      </c>
      <c r="C53" s="82">
        <v>4.7868065418002384E-2</v>
      </c>
      <c r="D53" s="82">
        <v>1.1967016354500596E-2</v>
      </c>
      <c r="E53" s="82">
        <v>3.6957164362437726E-2</v>
      </c>
      <c r="F53" s="82">
        <v>9.2392910906094316E-3</v>
      </c>
      <c r="G53" s="82">
        <v>1.8894210049639697E-2</v>
      </c>
      <c r="H53" s="82">
        <v>4.7235525124099242E-3</v>
      </c>
      <c r="I53" s="82">
        <v>1.1739632740217762E-2</v>
      </c>
      <c r="J53" s="82">
        <v>2.9349081850544405E-3</v>
      </c>
    </row>
    <row r="54" spans="1:10" x14ac:dyDescent="0.35">
      <c r="A54" s="47" t="s">
        <v>276</v>
      </c>
      <c r="B54" s="198">
        <v>1.25</v>
      </c>
      <c r="C54" s="199">
        <v>4.2110000000000002E-2</v>
      </c>
      <c r="D54" s="199">
        <v>5.5750000000000001E-2</v>
      </c>
      <c r="E54" s="199">
        <v>2.3189999999999999E-2</v>
      </c>
      <c r="F54" s="199">
        <v>5.4690000000000003E-2</v>
      </c>
      <c r="G54" s="199">
        <v>9.9399999999999992E-3</v>
      </c>
      <c r="H54" s="199">
        <v>5.3940000000000002E-2</v>
      </c>
      <c r="I54" s="199">
        <v>8.1499999999999993E-3</v>
      </c>
      <c r="J54" s="199">
        <v>5.6919999999999998E-2</v>
      </c>
    </row>
    <row r="55" spans="1:10" x14ac:dyDescent="0.35">
      <c r="A55" s="23" t="s">
        <v>277</v>
      </c>
      <c r="B55" s="48">
        <v>1.25</v>
      </c>
      <c r="C55" s="79">
        <v>0.10340000000000001</v>
      </c>
      <c r="D55" s="79">
        <v>5.8930000000000003E-2</v>
      </c>
      <c r="E55" s="79">
        <v>5.6939999999999998E-2</v>
      </c>
      <c r="F55" s="79">
        <v>5.781E-2</v>
      </c>
      <c r="G55" s="79">
        <v>2.4410000000000001E-2</v>
      </c>
      <c r="H55" s="79">
        <v>5.7020000000000001E-2</v>
      </c>
      <c r="I55" s="79">
        <v>2.002E-2</v>
      </c>
      <c r="J55" s="79">
        <v>5.6919999999999998E-2</v>
      </c>
    </row>
    <row r="56" spans="1:10" x14ac:dyDescent="0.35">
      <c r="D56" s="11"/>
      <c r="E56" s="11"/>
      <c r="F56" s="11"/>
      <c r="G56" s="11"/>
    </row>
    <row r="57" spans="1:10" x14ac:dyDescent="0.35">
      <c r="D57" s="11"/>
    </row>
    <row r="58" spans="1:10" x14ac:dyDescent="0.35">
      <c r="D58" s="11"/>
      <c r="E58" s="11"/>
      <c r="F58" s="11"/>
    </row>
    <row r="59" spans="1:10" ht="18.5" x14ac:dyDescent="0.35">
      <c r="A59" s="78" t="s">
        <v>278</v>
      </c>
      <c r="B59" s="49" t="s">
        <v>236</v>
      </c>
      <c r="C59" s="33" t="s">
        <v>252</v>
      </c>
      <c r="D59" s="33" t="s">
        <v>253</v>
      </c>
      <c r="E59" s="33" t="s">
        <v>254</v>
      </c>
      <c r="F59" s="33" t="s">
        <v>257</v>
      </c>
    </row>
    <row r="60" spans="1:10" ht="16.5" x14ac:dyDescent="0.35">
      <c r="A60" s="34" t="s">
        <v>279</v>
      </c>
      <c r="B60" s="42" t="s">
        <v>280</v>
      </c>
      <c r="C60" s="35">
        <v>1.7999999999999999E-2</v>
      </c>
      <c r="D60" s="35">
        <v>1.7999999999999999E-2</v>
      </c>
      <c r="E60" s="35">
        <v>1.7999999999999999E-2</v>
      </c>
      <c r="F60" s="35">
        <v>1.7999999999999999E-2</v>
      </c>
    </row>
    <row r="61" spans="1:10" ht="16.5" x14ac:dyDescent="0.35">
      <c r="A61" s="36" t="s">
        <v>281</v>
      </c>
      <c r="B61" s="19" t="s">
        <v>282</v>
      </c>
      <c r="C61" s="37">
        <v>2.1000000000000001E-2</v>
      </c>
      <c r="D61" s="37">
        <v>2.1000000000000001E-2</v>
      </c>
      <c r="E61" s="37">
        <v>2.1000000000000001E-2</v>
      </c>
      <c r="F61" s="37">
        <v>2.1000000000000001E-2</v>
      </c>
    </row>
    <row r="62" spans="1:10" ht="16.5" x14ac:dyDescent="0.35">
      <c r="A62" s="50" t="s">
        <v>283</v>
      </c>
      <c r="B62" s="18" t="s">
        <v>284</v>
      </c>
      <c r="C62" s="51">
        <v>1.4</v>
      </c>
      <c r="D62" s="51">
        <v>1.4</v>
      </c>
      <c r="E62" s="51">
        <v>0.2</v>
      </c>
      <c r="F62" s="51">
        <v>0.2</v>
      </c>
    </row>
    <row r="63" spans="1:10" x14ac:dyDescent="0.35">
      <c r="D63" s="11"/>
      <c r="E63" s="11"/>
      <c r="F63" s="11"/>
    </row>
    <row r="64" spans="1:10" x14ac:dyDescent="0.35">
      <c r="A64" s="11"/>
      <c r="B64" s="11"/>
      <c r="C64" s="11"/>
      <c r="D64" s="11"/>
      <c r="E64" s="11"/>
      <c r="F64" s="11"/>
    </row>
    <row r="65" spans="1:10" x14ac:dyDescent="0.35">
      <c r="A65" s="11"/>
      <c r="B65" s="11"/>
      <c r="C65" s="11"/>
      <c r="D65" s="11"/>
      <c r="E65" s="11"/>
      <c r="F65" s="11"/>
    </row>
    <row r="66" spans="1:10" ht="18.5" x14ac:dyDescent="0.35">
      <c r="A66" s="78" t="s">
        <v>285</v>
      </c>
      <c r="B66" s="49" t="s">
        <v>236</v>
      </c>
      <c r="C66" s="33" t="s">
        <v>201</v>
      </c>
      <c r="D66" s="33" t="s">
        <v>253</v>
      </c>
      <c r="E66" s="33" t="s">
        <v>254</v>
      </c>
      <c r="F66" s="33" t="s">
        <v>257</v>
      </c>
    </row>
    <row r="67" spans="1:10" ht="16.5" x14ac:dyDescent="0.35">
      <c r="A67" s="34" t="s">
        <v>286</v>
      </c>
      <c r="B67" s="52" t="s">
        <v>287</v>
      </c>
      <c r="C67" s="35">
        <v>3.5</v>
      </c>
      <c r="D67" s="35">
        <v>3.5</v>
      </c>
      <c r="E67" s="35">
        <v>2.2999999999999998</v>
      </c>
      <c r="F67" s="35">
        <v>2.2999999999999998</v>
      </c>
    </row>
    <row r="68" spans="1:10" ht="33" x14ac:dyDescent="0.35">
      <c r="A68" s="38" t="s">
        <v>288</v>
      </c>
      <c r="B68" s="53" t="s">
        <v>289</v>
      </c>
      <c r="C68" s="39">
        <v>2.1</v>
      </c>
      <c r="D68" s="37">
        <v>2.1</v>
      </c>
      <c r="E68" s="37">
        <v>2.1</v>
      </c>
      <c r="F68" s="37">
        <v>2.1</v>
      </c>
    </row>
    <row r="69" spans="1:10" x14ac:dyDescent="0.35">
      <c r="D69" s="39"/>
      <c r="E69" s="39"/>
      <c r="F69" s="39"/>
    </row>
    <row r="70" spans="1:10" x14ac:dyDescent="0.35">
      <c r="E70" s="4"/>
      <c r="F70" s="4"/>
      <c r="G70" s="4"/>
      <c r="H70" s="4"/>
      <c r="I70" s="4"/>
      <c r="J70" s="4"/>
    </row>
    <row r="72" spans="1:10" ht="18.5" x14ac:dyDescent="0.45">
      <c r="A72" s="24" t="s">
        <v>107</v>
      </c>
      <c r="B72" s="13" t="s">
        <v>236</v>
      </c>
      <c r="C72" s="25" t="s">
        <v>201</v>
      </c>
    </row>
    <row r="73" spans="1:10" x14ac:dyDescent="0.35">
      <c r="A73" s="54" t="s">
        <v>109</v>
      </c>
      <c r="B73" s="55" t="s">
        <v>290</v>
      </c>
      <c r="C73" s="56">
        <v>5800</v>
      </c>
    </row>
    <row r="74" spans="1:10" x14ac:dyDescent="0.35">
      <c r="A74" s="57" t="s">
        <v>113</v>
      </c>
      <c r="B74" s="58" t="s">
        <v>290</v>
      </c>
      <c r="C74" s="59">
        <v>8500</v>
      </c>
    </row>
    <row r="75" spans="1:10" x14ac:dyDescent="0.35">
      <c r="B75" s="6"/>
      <c r="C75" s="6"/>
    </row>
    <row r="76" spans="1:10" x14ac:dyDescent="0.35">
      <c r="A76" s="17"/>
      <c r="B76" s="6"/>
      <c r="C76" s="6"/>
    </row>
    <row r="77" spans="1:10" x14ac:dyDescent="0.35">
      <c r="D77" s="7"/>
    </row>
    <row r="78" spans="1:10" ht="18.5" x14ac:dyDescent="0.45">
      <c r="A78" s="748" t="s">
        <v>93</v>
      </c>
      <c r="B78" s="749" t="s">
        <v>236</v>
      </c>
      <c r="C78" s="750" t="s">
        <v>201</v>
      </c>
      <c r="D78" s="4" t="s">
        <v>1488</v>
      </c>
      <c r="E78" s="4" t="s">
        <v>1489</v>
      </c>
      <c r="F78" s="4" t="s">
        <v>36</v>
      </c>
    </row>
    <row r="79" spans="1:10" x14ac:dyDescent="0.35">
      <c r="A79" t="s">
        <v>332</v>
      </c>
      <c r="B79" t="s">
        <v>260</v>
      </c>
      <c r="C79" s="117">
        <v>1190</v>
      </c>
      <c r="D79" t="s">
        <v>1490</v>
      </c>
    </row>
    <row r="80" spans="1:10" x14ac:dyDescent="0.35">
      <c r="A80" t="s">
        <v>333</v>
      </c>
      <c r="B80" t="s">
        <v>260</v>
      </c>
      <c r="C80" s="117">
        <v>13160</v>
      </c>
      <c r="D80" t="s">
        <v>1491</v>
      </c>
      <c r="E80">
        <v>2018</v>
      </c>
    </row>
    <row r="81" spans="1:6" x14ac:dyDescent="0.35">
      <c r="A81" t="s">
        <v>1522</v>
      </c>
      <c r="B81" t="s">
        <v>260</v>
      </c>
      <c r="C81">
        <v>3100</v>
      </c>
      <c r="D81" t="s">
        <v>1503</v>
      </c>
      <c r="E81">
        <v>2021</v>
      </c>
      <c r="F81" t="s">
        <v>1523</v>
      </c>
    </row>
    <row r="82" spans="1:6" x14ac:dyDescent="0.35">
      <c r="A82" t="s">
        <v>293</v>
      </c>
      <c r="B82" t="s">
        <v>260</v>
      </c>
      <c r="C82" s="117" t="s">
        <v>294</v>
      </c>
      <c r="D82" t="s">
        <v>1492</v>
      </c>
    </row>
    <row r="83" spans="1:6" x14ac:dyDescent="0.35">
      <c r="A83" t="s">
        <v>318</v>
      </c>
      <c r="B83" t="s">
        <v>260</v>
      </c>
      <c r="C83" s="117" t="s">
        <v>319</v>
      </c>
      <c r="D83" t="s">
        <v>1493</v>
      </c>
      <c r="E83">
        <v>2020</v>
      </c>
    </row>
    <row r="84" spans="1:6" x14ac:dyDescent="0.35">
      <c r="A84" t="s">
        <v>336</v>
      </c>
      <c r="B84" t="s">
        <v>260</v>
      </c>
      <c r="C84" s="117">
        <v>1060</v>
      </c>
      <c r="D84" t="s">
        <v>1490</v>
      </c>
    </row>
    <row r="85" spans="1:6" x14ac:dyDescent="0.35">
      <c r="A85" t="s">
        <v>324</v>
      </c>
      <c r="B85" t="s">
        <v>260</v>
      </c>
      <c r="C85" s="117" t="s">
        <v>325</v>
      </c>
      <c r="D85" t="s">
        <v>1492</v>
      </c>
    </row>
    <row r="86" spans="1:6" x14ac:dyDescent="0.35">
      <c r="A86" t="s">
        <v>328</v>
      </c>
      <c r="B86" t="s">
        <v>260</v>
      </c>
      <c r="C86" s="117" t="s">
        <v>329</v>
      </c>
      <c r="D86" t="s">
        <v>1494</v>
      </c>
    </row>
    <row r="87" spans="1:6" x14ac:dyDescent="0.35">
      <c r="A87" t="s">
        <v>1521</v>
      </c>
      <c r="B87" t="s">
        <v>260</v>
      </c>
      <c r="C87">
        <v>2300</v>
      </c>
      <c r="D87" t="s">
        <v>1503</v>
      </c>
      <c r="E87">
        <v>2021</v>
      </c>
      <c r="F87" t="s">
        <v>1523</v>
      </c>
    </row>
    <row r="88" spans="1:6" x14ac:dyDescent="0.35">
      <c r="A88" t="s">
        <v>338</v>
      </c>
      <c r="B88" t="s">
        <v>260</v>
      </c>
      <c r="C88" s="117">
        <v>1430</v>
      </c>
      <c r="D88" t="s">
        <v>1495</v>
      </c>
    </row>
    <row r="89" spans="1:6" x14ac:dyDescent="0.35">
      <c r="A89" t="s">
        <v>322</v>
      </c>
      <c r="B89" t="s">
        <v>260</v>
      </c>
      <c r="C89" s="117" t="s">
        <v>323</v>
      </c>
      <c r="D89" t="s">
        <v>1492</v>
      </c>
    </row>
    <row r="90" spans="1:6" x14ac:dyDescent="0.35">
      <c r="A90" t="s">
        <v>320</v>
      </c>
      <c r="B90" t="s">
        <v>260</v>
      </c>
      <c r="C90" s="117" t="s">
        <v>321</v>
      </c>
      <c r="D90" t="s">
        <v>1492</v>
      </c>
    </row>
    <row r="91" spans="1:6" x14ac:dyDescent="0.35">
      <c r="A91" t="s">
        <v>335</v>
      </c>
      <c r="B91" t="s">
        <v>260</v>
      </c>
      <c r="C91" s="117">
        <v>1417</v>
      </c>
      <c r="D91" t="s">
        <v>1490</v>
      </c>
    </row>
    <row r="92" spans="1:6" x14ac:dyDescent="0.35">
      <c r="A92" t="s">
        <v>1496</v>
      </c>
      <c r="B92" t="s">
        <v>260</v>
      </c>
      <c r="C92" s="117">
        <v>139.9</v>
      </c>
      <c r="D92" t="s">
        <v>1497</v>
      </c>
    </row>
    <row r="93" spans="1:6" x14ac:dyDescent="0.35">
      <c r="A93" t="s">
        <v>326</v>
      </c>
      <c r="B93" t="s">
        <v>260</v>
      </c>
      <c r="C93" s="117" t="s">
        <v>327</v>
      </c>
      <c r="D93" t="s">
        <v>1492</v>
      </c>
    </row>
    <row r="94" spans="1:6" x14ac:dyDescent="0.35">
      <c r="A94" t="s">
        <v>315</v>
      </c>
      <c r="B94" t="s">
        <v>260</v>
      </c>
      <c r="C94" s="117" t="s">
        <v>316</v>
      </c>
      <c r="D94" t="s">
        <v>1498</v>
      </c>
      <c r="E94">
        <v>2020</v>
      </c>
    </row>
    <row r="95" spans="1:6" x14ac:dyDescent="0.35">
      <c r="A95" t="s">
        <v>315</v>
      </c>
      <c r="B95" t="s">
        <v>260</v>
      </c>
      <c r="C95" s="117" t="s">
        <v>317</v>
      </c>
      <c r="D95" t="s">
        <v>1492</v>
      </c>
    </row>
    <row r="96" spans="1:6" x14ac:dyDescent="0.35">
      <c r="A96" t="s">
        <v>330</v>
      </c>
      <c r="B96" t="s">
        <v>260</v>
      </c>
      <c r="C96" s="117" t="s">
        <v>331</v>
      </c>
      <c r="D96" t="s">
        <v>1492</v>
      </c>
    </row>
    <row r="97" spans="1:11" x14ac:dyDescent="0.35">
      <c r="A97" t="s">
        <v>337</v>
      </c>
      <c r="B97" t="s">
        <v>260</v>
      </c>
      <c r="C97" s="117">
        <v>890</v>
      </c>
      <c r="D97" t="s">
        <v>1499</v>
      </c>
      <c r="G97" s="4"/>
      <c r="H97" s="4"/>
      <c r="I97" s="4"/>
      <c r="J97" s="4"/>
    </row>
    <row r="98" spans="1:11" x14ac:dyDescent="0.35">
      <c r="A98" t="s">
        <v>309</v>
      </c>
      <c r="B98" t="s">
        <v>260</v>
      </c>
      <c r="C98" s="117" t="s">
        <v>310</v>
      </c>
      <c r="D98" t="s">
        <v>1500</v>
      </c>
      <c r="E98">
        <v>2012</v>
      </c>
    </row>
    <row r="99" spans="1:11" x14ac:dyDescent="0.35">
      <c r="A99" t="s">
        <v>301</v>
      </c>
      <c r="B99" t="s">
        <v>260</v>
      </c>
      <c r="C99" s="117" t="s">
        <v>302</v>
      </c>
      <c r="D99" t="s">
        <v>1501</v>
      </c>
      <c r="E99">
        <v>2013</v>
      </c>
    </row>
    <row r="100" spans="1:11" x14ac:dyDescent="0.35">
      <c r="A100" t="s">
        <v>299</v>
      </c>
      <c r="B100" t="s">
        <v>260</v>
      </c>
      <c r="C100" s="117" t="s">
        <v>300</v>
      </c>
      <c r="D100" t="s">
        <v>1502</v>
      </c>
      <c r="E100">
        <v>2020</v>
      </c>
    </row>
    <row r="101" spans="1:11" x14ac:dyDescent="0.35">
      <c r="A101" t="s">
        <v>305</v>
      </c>
      <c r="B101" t="s">
        <v>260</v>
      </c>
      <c r="C101" s="117" t="s">
        <v>306</v>
      </c>
      <c r="D101" t="s">
        <v>1503</v>
      </c>
      <c r="E101">
        <v>2003</v>
      </c>
    </row>
    <row r="102" spans="1:11" x14ac:dyDescent="0.35">
      <c r="A102" t="s">
        <v>303</v>
      </c>
      <c r="B102" t="s">
        <v>260</v>
      </c>
      <c r="C102" s="117" t="s">
        <v>304</v>
      </c>
      <c r="D102" t="s">
        <v>1503</v>
      </c>
      <c r="E102">
        <v>2020</v>
      </c>
    </row>
    <row r="103" spans="1:11" x14ac:dyDescent="0.35">
      <c r="A103" t="s">
        <v>297</v>
      </c>
      <c r="B103" t="s">
        <v>260</v>
      </c>
      <c r="C103" s="117" t="s">
        <v>298</v>
      </c>
      <c r="D103" t="s">
        <v>1503</v>
      </c>
      <c r="E103">
        <v>2003</v>
      </c>
    </row>
    <row r="104" spans="1:11" x14ac:dyDescent="0.35">
      <c r="A104" t="s">
        <v>295</v>
      </c>
      <c r="B104" t="s">
        <v>260</v>
      </c>
      <c r="C104" s="117" t="s">
        <v>296</v>
      </c>
      <c r="D104" t="s">
        <v>1502</v>
      </c>
      <c r="E104">
        <v>2020</v>
      </c>
    </row>
    <row r="105" spans="1:11" x14ac:dyDescent="0.35">
      <c r="A105" t="s">
        <v>1504</v>
      </c>
      <c r="B105" t="s">
        <v>260</v>
      </c>
      <c r="C105" s="117">
        <v>334</v>
      </c>
      <c r="D105" t="s">
        <v>1503</v>
      </c>
      <c r="E105">
        <v>2020</v>
      </c>
    </row>
    <row r="106" spans="1:11" x14ac:dyDescent="0.35">
      <c r="A106" t="s">
        <v>1505</v>
      </c>
      <c r="B106" t="s">
        <v>260</v>
      </c>
      <c r="C106" s="117">
        <v>280</v>
      </c>
      <c r="D106" t="s">
        <v>1503</v>
      </c>
      <c r="E106">
        <v>2020</v>
      </c>
      <c r="K106" s="16"/>
    </row>
    <row r="107" spans="1:11" x14ac:dyDescent="0.35">
      <c r="A107" t="s">
        <v>1506</v>
      </c>
      <c r="B107" t="s">
        <v>260</v>
      </c>
      <c r="C107" s="117">
        <v>332</v>
      </c>
      <c r="D107" t="s">
        <v>1503</v>
      </c>
      <c r="E107">
        <v>2018</v>
      </c>
      <c r="K107" s="16"/>
    </row>
    <row r="108" spans="1:11" x14ac:dyDescent="0.35">
      <c r="A108" t="s">
        <v>311</v>
      </c>
      <c r="B108" t="s">
        <v>260</v>
      </c>
      <c r="C108" s="117" t="s">
        <v>312</v>
      </c>
      <c r="D108" t="s">
        <v>1492</v>
      </c>
      <c r="K108" s="16"/>
    </row>
    <row r="109" spans="1:11" x14ac:dyDescent="0.35">
      <c r="A109" t="s">
        <v>307</v>
      </c>
      <c r="B109" t="s">
        <v>260</v>
      </c>
      <c r="C109" s="117" t="s">
        <v>308</v>
      </c>
      <c r="D109" t="s">
        <v>1507</v>
      </c>
      <c r="E109">
        <v>2020</v>
      </c>
      <c r="F109" t="s">
        <v>1523</v>
      </c>
    </row>
    <row r="110" spans="1:11" x14ac:dyDescent="0.35">
      <c r="A110" t="s">
        <v>291</v>
      </c>
      <c r="B110" t="s">
        <v>260</v>
      </c>
      <c r="C110" s="117" t="s">
        <v>292</v>
      </c>
      <c r="D110" t="s">
        <v>1508</v>
      </c>
      <c r="E110">
        <v>2012</v>
      </c>
    </row>
    <row r="111" spans="1:11" x14ac:dyDescent="0.35">
      <c r="A111" t="s">
        <v>334</v>
      </c>
      <c r="B111" t="s">
        <v>260</v>
      </c>
      <c r="C111" s="117">
        <v>551.29999999999995</v>
      </c>
      <c r="D111" t="s">
        <v>1509</v>
      </c>
      <c r="E111">
        <v>2010</v>
      </c>
    </row>
    <row r="112" spans="1:11" x14ac:dyDescent="0.35">
      <c r="A112" t="s">
        <v>339</v>
      </c>
      <c r="B112" t="s">
        <v>260</v>
      </c>
      <c r="C112" s="117">
        <v>1120</v>
      </c>
      <c r="D112" t="s">
        <v>1492</v>
      </c>
    </row>
    <row r="113" spans="1:10" x14ac:dyDescent="0.35">
      <c r="A113" t="s">
        <v>313</v>
      </c>
      <c r="B113" t="s">
        <v>260</v>
      </c>
      <c r="C113" s="117" t="s">
        <v>314</v>
      </c>
      <c r="D113" t="s">
        <v>1492</v>
      </c>
    </row>
    <row r="115" spans="1:10" x14ac:dyDescent="0.35">
      <c r="C115" s="117"/>
    </row>
    <row r="116" spans="1:10" x14ac:dyDescent="0.35">
      <c r="C116" s="117"/>
    </row>
    <row r="117" spans="1:10" x14ac:dyDescent="0.35">
      <c r="C117" s="117"/>
    </row>
    <row r="122" spans="1:10" x14ac:dyDescent="0.35">
      <c r="I122" s="12"/>
      <c r="J122" s="12"/>
    </row>
    <row r="123" spans="1:10" x14ac:dyDescent="0.35">
      <c r="I123" s="12"/>
      <c r="J123" s="12"/>
    </row>
    <row r="124" spans="1:10" x14ac:dyDescent="0.35">
      <c r="I124" s="8"/>
      <c r="J124" s="12"/>
    </row>
    <row r="126" spans="1:10" ht="18.5" x14ac:dyDescent="0.45">
      <c r="A126" s="24" t="s">
        <v>1164</v>
      </c>
      <c r="B126" s="13" t="s">
        <v>340</v>
      </c>
      <c r="C126" s="13" t="s">
        <v>341</v>
      </c>
      <c r="D126" s="13" t="s">
        <v>342</v>
      </c>
      <c r="E126" s="13" t="s">
        <v>343</v>
      </c>
      <c r="F126" s="13" t="s">
        <v>344</v>
      </c>
      <c r="G126" s="25" t="s">
        <v>345</v>
      </c>
    </row>
    <row r="127" spans="1:10" ht="29" x14ac:dyDescent="0.35">
      <c r="A127" s="60" t="s">
        <v>346</v>
      </c>
      <c r="B127" s="61" t="s">
        <v>347</v>
      </c>
      <c r="C127" s="62" t="s">
        <v>1187</v>
      </c>
      <c r="D127" s="62">
        <v>336</v>
      </c>
      <c r="E127" s="62">
        <v>25</v>
      </c>
      <c r="F127" s="62">
        <v>-300</v>
      </c>
      <c r="G127" s="56">
        <v>-520</v>
      </c>
      <c r="H127" t="str">
        <f>A127&amp;": "&amp;LOWER(B127)&amp;" til "&amp;LOWER(C127)</f>
        <v>Slamtype 1.1a: afvandet og lagret internt til landbrug</v>
      </c>
    </row>
    <row r="128" spans="1:10" ht="29" x14ac:dyDescent="0.35">
      <c r="A128" t="s">
        <v>348</v>
      </c>
      <c r="B128" s="61" t="s">
        <v>349</v>
      </c>
      <c r="C128" t="s">
        <v>1187</v>
      </c>
      <c r="E128">
        <f>D127+E127</f>
        <v>361</v>
      </c>
      <c r="F128">
        <v>-300</v>
      </c>
      <c r="G128">
        <v>-520</v>
      </c>
      <c r="H128" t="str">
        <f t="shared" ref="H128:H135" si="1">A128&amp;": "&amp;LOWER(B128)&amp;" til "&amp;LOWER(C128)</f>
        <v>Slamtype 1.1b: afvandet og lagret eksternt til landbrug</v>
      </c>
    </row>
    <row r="129" spans="1:8" ht="29" x14ac:dyDescent="0.35">
      <c r="A129" s="63" t="s">
        <v>350</v>
      </c>
      <c r="B129" s="64" t="s">
        <v>351</v>
      </c>
      <c r="C129" s="15" t="s">
        <v>1187</v>
      </c>
      <c r="D129" s="15">
        <v>130</v>
      </c>
      <c r="E129" s="15">
        <v>30</v>
      </c>
      <c r="F129" s="15">
        <v>-130</v>
      </c>
      <c r="G129" s="65">
        <v>-340</v>
      </c>
      <c r="H129" t="str">
        <f t="shared" si="1"/>
        <v>Slamtype 1.2: afvandet og komposteret internt til landbrug</v>
      </c>
    </row>
    <row r="130" spans="1:8" ht="29" x14ac:dyDescent="0.35">
      <c r="A130" s="66" t="s">
        <v>352</v>
      </c>
      <c r="B130" s="61" t="s">
        <v>353</v>
      </c>
      <c r="C130" s="62" t="s">
        <v>1187</v>
      </c>
      <c r="D130" s="52">
        <v>0</v>
      </c>
      <c r="E130" s="52">
        <f>180+30</f>
        <v>210</v>
      </c>
      <c r="F130" s="52">
        <v>-130</v>
      </c>
      <c r="G130" s="67">
        <v>-340</v>
      </c>
      <c r="H130" t="str">
        <f t="shared" si="1"/>
        <v>Slamtype 1.3: afvandet og komposteret eksternt til landbrug</v>
      </c>
    </row>
    <row r="131" spans="1:8" ht="29" x14ac:dyDescent="0.35">
      <c r="A131" s="63" t="s">
        <v>354</v>
      </c>
      <c r="B131" s="64" t="s">
        <v>355</v>
      </c>
      <c r="C131" s="15" t="s">
        <v>1187</v>
      </c>
      <c r="D131" s="68">
        <v>247</v>
      </c>
      <c r="E131" s="68">
        <v>0</v>
      </c>
      <c r="F131" s="68">
        <v>-180</v>
      </c>
      <c r="G131" s="69">
        <v>-520</v>
      </c>
      <c r="H131" t="str">
        <f t="shared" si="1"/>
        <v>Slamtype 2.1a: udrådnet og lagret internt til landbrug</v>
      </c>
    </row>
    <row r="132" spans="1:8" ht="29" x14ac:dyDescent="0.35">
      <c r="A132" t="s">
        <v>356</v>
      </c>
      <c r="B132" s="80" t="s">
        <v>357</v>
      </c>
      <c r="C132" t="s">
        <v>1187</v>
      </c>
      <c r="E132">
        <f>D131+E131</f>
        <v>247</v>
      </c>
      <c r="F132">
        <v>-180</v>
      </c>
      <c r="G132">
        <v>-520</v>
      </c>
      <c r="H132" t="str">
        <f t="shared" si="1"/>
        <v>Slamtype 2.1b: udrådnet og lagret eksternt til landbrug</v>
      </c>
    </row>
    <row r="133" spans="1:8" ht="29" x14ac:dyDescent="0.35">
      <c r="A133" s="66" t="s">
        <v>358</v>
      </c>
      <c r="B133" s="61" t="s">
        <v>359</v>
      </c>
      <c r="C133" s="62" t="s">
        <v>1187</v>
      </c>
      <c r="D133" s="62">
        <v>120</v>
      </c>
      <c r="E133" s="52">
        <v>0</v>
      </c>
      <c r="F133" s="52">
        <v>-120</v>
      </c>
      <c r="G133" s="67">
        <v>-340</v>
      </c>
      <c r="H133" t="str">
        <f t="shared" si="1"/>
        <v>Slamtype 2.2: udrådnet og komposteret internt til landbrug</v>
      </c>
    </row>
    <row r="134" spans="1:8" ht="29" x14ac:dyDescent="0.35">
      <c r="A134" s="63" t="s">
        <v>360</v>
      </c>
      <c r="B134" s="64" t="s">
        <v>361</v>
      </c>
      <c r="C134" s="15" t="s">
        <v>1187</v>
      </c>
      <c r="D134" s="10"/>
      <c r="E134" s="15">
        <v>170</v>
      </c>
      <c r="F134" s="15">
        <v>-120</v>
      </c>
      <c r="G134" s="65">
        <v>-340</v>
      </c>
      <c r="H134" t="str">
        <f t="shared" si="1"/>
        <v>Slamtype 2.3: udrådnet og komposteret eksternt til landbrug</v>
      </c>
    </row>
    <row r="135" spans="1:8" x14ac:dyDescent="0.35">
      <c r="A135" s="60" t="s">
        <v>362</v>
      </c>
      <c r="B135" s="61" t="s">
        <v>363</v>
      </c>
      <c r="C135" s="62" t="s">
        <v>1187</v>
      </c>
      <c r="D135" s="62">
        <v>460</v>
      </c>
      <c r="E135" s="27">
        <v>0</v>
      </c>
      <c r="F135" s="62">
        <v>-180</v>
      </c>
      <c r="G135" s="56">
        <v>-340</v>
      </c>
      <c r="H135" t="str">
        <f t="shared" si="1"/>
        <v>Slamtype 3a: mineralisering internt til landbrug</v>
      </c>
    </row>
    <row r="136" spans="1:8" ht="29" x14ac:dyDescent="0.35">
      <c r="A136" t="s">
        <v>364</v>
      </c>
      <c r="B136" s="80" t="s">
        <v>365</v>
      </c>
      <c r="C136" t="s">
        <v>1187</v>
      </c>
      <c r="E136">
        <v>511</v>
      </c>
      <c r="F136">
        <v>-180</v>
      </c>
      <c r="G136">
        <v>-340</v>
      </c>
    </row>
    <row r="137" spans="1:8" ht="29" x14ac:dyDescent="0.35">
      <c r="A137" s="70" t="s">
        <v>366</v>
      </c>
      <c r="B137" s="64" t="s">
        <v>367</v>
      </c>
      <c r="C137" s="15" t="s">
        <v>1187</v>
      </c>
      <c r="D137" s="15">
        <v>0</v>
      </c>
      <c r="E137" s="15">
        <v>0</v>
      </c>
      <c r="F137" s="15">
        <v>0</v>
      </c>
      <c r="G137" s="65">
        <v>-118</v>
      </c>
      <c r="H137" t="str">
        <f t="shared" ref="H137:H150" si="2">A137&amp;": "&amp;LOWER(B137)&amp;" til "&amp;LOWER(C137)</f>
        <v>Slamtype 4.1a: monoforbrænding internt til landbrug</v>
      </c>
    </row>
    <row r="138" spans="1:8" ht="29" x14ac:dyDescent="0.35">
      <c r="A138" s="60" t="s">
        <v>368</v>
      </c>
      <c r="B138" s="61" t="s">
        <v>367</v>
      </c>
      <c r="C138" s="62" t="s">
        <v>1188</v>
      </c>
      <c r="D138" s="62">
        <v>0</v>
      </c>
      <c r="E138" s="62">
        <v>0</v>
      </c>
      <c r="F138" s="62">
        <v>0</v>
      </c>
      <c r="G138" s="56">
        <v>0</v>
      </c>
      <c r="H138" t="str">
        <f t="shared" si="2"/>
        <v>Slamtype 4.1b: monoforbrænding internt til deponi</v>
      </c>
    </row>
    <row r="139" spans="1:8" ht="29" x14ac:dyDescent="0.35">
      <c r="A139" s="70" t="s">
        <v>369</v>
      </c>
      <c r="B139" s="64" t="s">
        <v>367</v>
      </c>
      <c r="C139" s="15" t="s">
        <v>1189</v>
      </c>
      <c r="D139" s="15">
        <v>0</v>
      </c>
      <c r="E139" s="15">
        <v>0</v>
      </c>
      <c r="F139" s="15">
        <v>0</v>
      </c>
      <c r="G139" s="65" t="s">
        <v>1301</v>
      </c>
      <c r="H139" t="str">
        <f t="shared" si="2"/>
        <v>Slamtype 4.1c: monoforbrænding internt til anden udnyttelse</v>
      </c>
    </row>
    <row r="140" spans="1:8" ht="29" x14ac:dyDescent="0.35">
      <c r="A140" s="60" t="s">
        <v>370</v>
      </c>
      <c r="B140" s="61" t="s">
        <v>371</v>
      </c>
      <c r="C140" s="62" t="s">
        <v>1187</v>
      </c>
      <c r="D140" s="62">
        <v>0</v>
      </c>
      <c r="E140" s="62">
        <v>370</v>
      </c>
      <c r="F140" s="62">
        <v>0</v>
      </c>
      <c r="G140" s="56">
        <v>-118</v>
      </c>
      <c r="H140" t="str">
        <f t="shared" si="2"/>
        <v>Slamtype 4.2a: monoforbrænding eksternt til landbrug</v>
      </c>
    </row>
    <row r="141" spans="1:8" ht="29" x14ac:dyDescent="0.35">
      <c r="A141" s="70" t="s">
        <v>372</v>
      </c>
      <c r="B141" s="64" t="s">
        <v>373</v>
      </c>
      <c r="C141" s="15" t="s">
        <v>1188</v>
      </c>
      <c r="D141" s="15">
        <v>0</v>
      </c>
      <c r="E141" s="15">
        <v>370</v>
      </c>
      <c r="F141" s="15">
        <v>0</v>
      </c>
      <c r="G141" s="65">
        <v>0</v>
      </c>
      <c r="H141" t="str">
        <f t="shared" si="2"/>
        <v>Slamtype 4.2b: monoforbrædning eksternt til deponi</v>
      </c>
    </row>
    <row r="142" spans="1:8" ht="29" x14ac:dyDescent="0.35">
      <c r="A142" s="60" t="s">
        <v>374</v>
      </c>
      <c r="B142" s="61" t="s">
        <v>371</v>
      </c>
      <c r="C142" s="62" t="s">
        <v>1189</v>
      </c>
      <c r="D142" s="62">
        <v>0</v>
      </c>
      <c r="E142" s="62">
        <v>370</v>
      </c>
      <c r="F142" s="15">
        <v>0</v>
      </c>
      <c r="G142" s="65" t="s">
        <v>1301</v>
      </c>
      <c r="H142" t="str">
        <f t="shared" si="2"/>
        <v>Slamtype 4.2c: monoforbrænding eksternt til anden udnyttelse</v>
      </c>
    </row>
    <row r="143" spans="1:8" x14ac:dyDescent="0.35">
      <c r="A143" s="70" t="s">
        <v>375</v>
      </c>
      <c r="B143" s="64" t="s">
        <v>376</v>
      </c>
      <c r="C143" s="15" t="s">
        <v>1187</v>
      </c>
      <c r="D143" s="15">
        <v>0</v>
      </c>
      <c r="E143" s="15">
        <v>0</v>
      </c>
      <c r="F143" s="15">
        <v>-288</v>
      </c>
      <c r="G143" s="65">
        <v>-203</v>
      </c>
      <c r="H143" t="str">
        <f t="shared" si="2"/>
        <v>Slamtype 5.1a: pyrolyse internt til landbrug</v>
      </c>
    </row>
    <row r="144" spans="1:8" x14ac:dyDescent="0.35">
      <c r="A144" s="60" t="s">
        <v>377</v>
      </c>
      <c r="B144" s="61" t="s">
        <v>376</v>
      </c>
      <c r="C144" s="62" t="s">
        <v>1188</v>
      </c>
      <c r="D144" s="62">
        <v>0</v>
      </c>
      <c r="E144" s="62">
        <v>0</v>
      </c>
      <c r="F144" s="62">
        <v>0</v>
      </c>
      <c r="G144" s="56">
        <v>0</v>
      </c>
      <c r="H144" t="str">
        <f t="shared" si="2"/>
        <v>Slamtype 5.1b: pyrolyse internt til deponi</v>
      </c>
    </row>
    <row r="145" spans="1:8" x14ac:dyDescent="0.35">
      <c r="A145" s="70" t="s">
        <v>378</v>
      </c>
      <c r="B145" s="64" t="s">
        <v>376</v>
      </c>
      <c r="C145" s="15" t="s">
        <v>1189</v>
      </c>
      <c r="D145" s="15">
        <v>0</v>
      </c>
      <c r="E145" s="15">
        <v>0</v>
      </c>
      <c r="F145" s="15" t="s">
        <v>1301</v>
      </c>
      <c r="G145" s="65" t="s">
        <v>1301</v>
      </c>
      <c r="H145" t="str">
        <f t="shared" si="2"/>
        <v>Slamtype 5.1c: pyrolyse internt til anden udnyttelse</v>
      </c>
    </row>
    <row r="146" spans="1:8" x14ac:dyDescent="0.35">
      <c r="A146" s="60" t="s">
        <v>379</v>
      </c>
      <c r="B146" s="61" t="s">
        <v>380</v>
      </c>
      <c r="C146" s="62" t="s">
        <v>1187</v>
      </c>
      <c r="D146" s="62">
        <v>0</v>
      </c>
      <c r="E146" s="62">
        <v>290</v>
      </c>
      <c r="F146" s="62">
        <v>-288</v>
      </c>
      <c r="G146" s="56">
        <v>-203</v>
      </c>
      <c r="H146" t="str">
        <f t="shared" si="2"/>
        <v>Slamtype 5.2a: pyrolyse eksternt til landbrug</v>
      </c>
    </row>
    <row r="147" spans="1:8" x14ac:dyDescent="0.35">
      <c r="A147" s="70" t="s">
        <v>381</v>
      </c>
      <c r="B147" s="64" t="s">
        <v>380</v>
      </c>
      <c r="C147" s="15" t="s">
        <v>1188</v>
      </c>
      <c r="D147" s="15">
        <v>0</v>
      </c>
      <c r="E147" s="15">
        <v>290</v>
      </c>
      <c r="F147" s="15">
        <v>0</v>
      </c>
      <c r="G147" s="65">
        <v>0</v>
      </c>
      <c r="H147" t="str">
        <f t="shared" si="2"/>
        <v>Slamtype 5.2b: pyrolyse eksternt til deponi</v>
      </c>
    </row>
    <row r="148" spans="1:8" x14ac:dyDescent="0.35">
      <c r="A148" s="60" t="s">
        <v>382</v>
      </c>
      <c r="B148" s="61" t="s">
        <v>380</v>
      </c>
      <c r="C148" s="62" t="s">
        <v>1189</v>
      </c>
      <c r="D148" s="62">
        <v>0</v>
      </c>
      <c r="E148" s="62">
        <v>290</v>
      </c>
      <c r="F148" s="15" t="s">
        <v>1301</v>
      </c>
      <c r="G148" s="65" t="s">
        <v>1301</v>
      </c>
      <c r="H148" t="str">
        <f t="shared" si="2"/>
        <v>Slamtype 5.2c: pyrolyse eksternt til anden udnyttelse</v>
      </c>
    </row>
    <row r="149" spans="1:8" ht="29" x14ac:dyDescent="0.35">
      <c r="A149" s="70" t="s">
        <v>383</v>
      </c>
      <c r="B149" s="64" t="s">
        <v>384</v>
      </c>
      <c r="C149" s="15" t="s">
        <v>1188</v>
      </c>
      <c r="D149" s="10">
        <v>0</v>
      </c>
      <c r="E149" s="15">
        <v>510</v>
      </c>
      <c r="F149" s="15">
        <v>0</v>
      </c>
      <c r="G149" s="65">
        <v>0</v>
      </c>
      <c r="H149" t="str">
        <f t="shared" si="2"/>
        <v>Slamtype 6: afvandet og forbrændt til deponi</v>
      </c>
    </row>
    <row r="150" spans="1:8" ht="29" x14ac:dyDescent="0.35">
      <c r="A150" s="71" t="s">
        <v>385</v>
      </c>
      <c r="B150" s="72" t="s">
        <v>386</v>
      </c>
      <c r="C150" s="73" t="s">
        <v>1188</v>
      </c>
      <c r="D150" s="21">
        <v>0</v>
      </c>
      <c r="E150" s="73">
        <v>260</v>
      </c>
      <c r="F150" s="73">
        <v>0</v>
      </c>
      <c r="G150" s="74">
        <v>0</v>
      </c>
      <c r="H150" t="str">
        <f t="shared" si="2"/>
        <v>Slamtype 7: udrådnet og forbrændt til deponi</v>
      </c>
    </row>
  </sheetData>
  <sheetProtection algorithmName="SHA-512" hashValue="pEsdLpfW7ppCE5TcXIuxXPmZyBJhVtupRK+llK/N0nnhtoAXrmCEhgoGg63hpMTDaoDzNhGGNwLhq0BeIBlslQ==" saltValue="K2e+j0MlEa/N0xyjU+Y1bw==" spinCount="100000" sheet="1" objects="1" scenarios="1"/>
  <phoneticPr fontId="32" type="noConversion"/>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tabColor theme="0" tint="-0.499984740745262"/>
  </sheetPr>
  <dimension ref="A1:U237"/>
  <sheetViews>
    <sheetView workbookViewId="0">
      <selection activeCell="H232" sqref="H232"/>
    </sheetView>
  </sheetViews>
  <sheetFormatPr defaultRowHeight="14.5" x14ac:dyDescent="0.35"/>
  <cols>
    <col min="1" max="1" width="41.453125" bestFit="1" customWidth="1"/>
    <col min="2" max="20" width="15.54296875" customWidth="1"/>
  </cols>
  <sheetData>
    <row r="1" spans="1:21" ht="87" x14ac:dyDescent="0.35">
      <c r="A1" s="2"/>
      <c r="B1" s="9" t="s">
        <v>387</v>
      </c>
      <c r="C1" s="120" t="s">
        <v>388</v>
      </c>
      <c r="D1" s="120" t="s">
        <v>389</v>
      </c>
      <c r="E1" s="120" t="s">
        <v>390</v>
      </c>
      <c r="F1" s="120" t="s">
        <v>391</v>
      </c>
      <c r="G1" s="120" t="s">
        <v>1290</v>
      </c>
      <c r="H1" s="120" t="s">
        <v>1289</v>
      </c>
      <c r="I1" s="120" t="s">
        <v>392</v>
      </c>
      <c r="J1" s="120" t="s">
        <v>40</v>
      </c>
      <c r="K1" s="9" t="s">
        <v>44</v>
      </c>
      <c r="L1" s="9" t="s">
        <v>393</v>
      </c>
      <c r="M1" s="9" t="s">
        <v>52</v>
      </c>
      <c r="N1" s="9" t="s">
        <v>394</v>
      </c>
      <c r="O1" s="120" t="s">
        <v>395</v>
      </c>
      <c r="P1" s="270" t="s">
        <v>396</v>
      </c>
      <c r="Q1" s="270" t="s">
        <v>397</v>
      </c>
      <c r="R1" s="270" t="s">
        <v>398</v>
      </c>
    </row>
    <row r="2" spans="1:21" x14ac:dyDescent="0.35">
      <c r="A2" s="2"/>
      <c r="B2" s="2"/>
      <c r="C2" t="s">
        <v>266</v>
      </c>
      <c r="D2" t="s">
        <v>266</v>
      </c>
      <c r="E2" t="s">
        <v>266</v>
      </c>
      <c r="F2" t="s">
        <v>266</v>
      </c>
      <c r="G2" t="s">
        <v>266</v>
      </c>
      <c r="H2" t="s">
        <v>266</v>
      </c>
      <c r="I2" t="s">
        <v>399</v>
      </c>
      <c r="J2" t="s">
        <v>266</v>
      </c>
      <c r="K2" t="s">
        <v>266</v>
      </c>
      <c r="L2" t="s">
        <v>266</v>
      </c>
      <c r="M2" t="s">
        <v>266</v>
      </c>
      <c r="N2" t="s">
        <v>266</v>
      </c>
      <c r="O2" t="s">
        <v>399</v>
      </c>
      <c r="P2" t="s">
        <v>266</v>
      </c>
      <c r="Q2" t="s">
        <v>266</v>
      </c>
    </row>
    <row r="3" spans="1:21" x14ac:dyDescent="0.35">
      <c r="C3" t="s">
        <v>400</v>
      </c>
      <c r="D3" t="s">
        <v>400</v>
      </c>
      <c r="E3" t="s">
        <v>400</v>
      </c>
      <c r="F3" t="s">
        <v>400</v>
      </c>
      <c r="G3" t="s">
        <v>400</v>
      </c>
      <c r="H3" t="s">
        <v>400</v>
      </c>
      <c r="I3" t="s">
        <v>401</v>
      </c>
      <c r="J3" t="s">
        <v>402</v>
      </c>
      <c r="K3" t="s">
        <v>402</v>
      </c>
      <c r="L3" t="s">
        <v>402</v>
      </c>
      <c r="M3" t="s">
        <v>402</v>
      </c>
      <c r="N3" t="s">
        <v>402</v>
      </c>
      <c r="O3" t="s">
        <v>402</v>
      </c>
      <c r="P3" t="s">
        <v>402</v>
      </c>
      <c r="Q3" t="s">
        <v>402</v>
      </c>
      <c r="R3" t="s">
        <v>402</v>
      </c>
    </row>
    <row r="4" spans="1:21" x14ac:dyDescent="0.35">
      <c r="C4" t="s">
        <v>403</v>
      </c>
      <c r="D4" t="s">
        <v>404</v>
      </c>
      <c r="E4" t="s">
        <v>405</v>
      </c>
      <c r="F4" t="s">
        <v>406</v>
      </c>
      <c r="G4" t="s">
        <v>1368</v>
      </c>
      <c r="H4" t="s">
        <v>1369</v>
      </c>
      <c r="I4" t="s">
        <v>407</v>
      </c>
      <c r="J4" t="s">
        <v>408</v>
      </c>
      <c r="K4" t="s">
        <v>409</v>
      </c>
      <c r="L4" t="s">
        <v>410</v>
      </c>
      <c r="M4" t="s">
        <v>411</v>
      </c>
      <c r="N4" t="s">
        <v>412</v>
      </c>
      <c r="O4" t="s">
        <v>413</v>
      </c>
      <c r="P4" t="s">
        <v>414</v>
      </c>
      <c r="Q4" t="s">
        <v>415</v>
      </c>
      <c r="R4" t="s">
        <v>416</v>
      </c>
    </row>
    <row r="5" spans="1:21" x14ac:dyDescent="0.35">
      <c r="A5" t="s">
        <v>1387</v>
      </c>
      <c r="R5">
        <v>1</v>
      </c>
      <c r="T5" t="s">
        <v>418</v>
      </c>
      <c r="U5" s="3" t="s">
        <v>1372</v>
      </c>
    </row>
    <row r="6" spans="1:21" x14ac:dyDescent="0.35">
      <c r="A6" t="s">
        <v>489</v>
      </c>
      <c r="B6" s="1">
        <v>2023</v>
      </c>
      <c r="C6">
        <v>142679</v>
      </c>
      <c r="D6">
        <v>0</v>
      </c>
      <c r="E6">
        <v>0</v>
      </c>
      <c r="F6">
        <v>0</v>
      </c>
      <c r="G6">
        <v>0</v>
      </c>
      <c r="H6">
        <v>0</v>
      </c>
      <c r="I6">
        <v>264287</v>
      </c>
      <c r="J6" t="s">
        <v>420</v>
      </c>
      <c r="K6" t="s">
        <v>420</v>
      </c>
      <c r="L6" t="s">
        <v>420</v>
      </c>
      <c r="M6" t="s">
        <v>420</v>
      </c>
      <c r="N6" t="s">
        <v>420</v>
      </c>
      <c r="O6" t="s">
        <v>420</v>
      </c>
      <c r="P6" t="s">
        <v>420</v>
      </c>
      <c r="Q6" t="s">
        <v>420</v>
      </c>
      <c r="R6">
        <v>2</v>
      </c>
      <c r="T6" t="s">
        <v>404</v>
      </c>
      <c r="U6" t="s">
        <v>1373</v>
      </c>
    </row>
    <row r="7" spans="1:21" x14ac:dyDescent="0.35">
      <c r="A7" t="s">
        <v>539</v>
      </c>
      <c r="B7" s="1">
        <v>2023</v>
      </c>
      <c r="C7">
        <v>141965</v>
      </c>
      <c r="D7">
        <v>0</v>
      </c>
      <c r="E7">
        <v>0</v>
      </c>
      <c r="F7">
        <v>0</v>
      </c>
      <c r="G7">
        <v>0</v>
      </c>
      <c r="H7">
        <v>0</v>
      </c>
      <c r="I7">
        <v>242025</v>
      </c>
      <c r="J7" t="s">
        <v>420</v>
      </c>
      <c r="K7" t="s">
        <v>420</v>
      </c>
      <c r="L7" t="s">
        <v>420</v>
      </c>
      <c r="M7" t="s">
        <v>420</v>
      </c>
      <c r="N7" t="s">
        <v>420</v>
      </c>
      <c r="O7" t="s">
        <v>420</v>
      </c>
      <c r="P7" t="s">
        <v>420</v>
      </c>
      <c r="Q7" t="s">
        <v>420</v>
      </c>
      <c r="R7">
        <v>1</v>
      </c>
    </row>
    <row r="8" spans="1:21" x14ac:dyDescent="0.35">
      <c r="A8" t="s">
        <v>474</v>
      </c>
      <c r="B8" s="1">
        <v>2023</v>
      </c>
      <c r="C8">
        <v>348927</v>
      </c>
      <c r="D8">
        <v>0</v>
      </c>
      <c r="E8">
        <v>0</v>
      </c>
      <c r="F8">
        <v>0</v>
      </c>
      <c r="G8">
        <v>0</v>
      </c>
      <c r="H8">
        <v>0</v>
      </c>
      <c r="I8">
        <v>873389</v>
      </c>
      <c r="J8" t="s">
        <v>420</v>
      </c>
      <c r="K8" t="s">
        <v>420</v>
      </c>
      <c r="L8" t="s">
        <v>420</v>
      </c>
      <c r="M8" t="s">
        <v>420</v>
      </c>
      <c r="N8" t="s">
        <v>420</v>
      </c>
      <c r="O8" t="s">
        <v>420</v>
      </c>
      <c r="P8" t="s">
        <v>420</v>
      </c>
      <c r="Q8" t="s">
        <v>420</v>
      </c>
      <c r="R8">
        <v>2</v>
      </c>
    </row>
    <row r="9" spans="1:21" x14ac:dyDescent="0.35">
      <c r="A9" t="s">
        <v>570</v>
      </c>
      <c r="B9" s="1">
        <v>2023</v>
      </c>
      <c r="C9">
        <v>84602</v>
      </c>
      <c r="D9">
        <v>20000</v>
      </c>
      <c r="E9">
        <v>0</v>
      </c>
      <c r="F9">
        <v>0</v>
      </c>
      <c r="G9">
        <v>0</v>
      </c>
      <c r="H9">
        <v>0</v>
      </c>
      <c r="I9">
        <v>239644</v>
      </c>
      <c r="J9" t="s">
        <v>420</v>
      </c>
      <c r="K9" t="s">
        <v>420</v>
      </c>
      <c r="L9" t="s">
        <v>420</v>
      </c>
      <c r="M9" t="s">
        <v>420</v>
      </c>
      <c r="N9" t="s">
        <v>420</v>
      </c>
      <c r="O9" t="s">
        <v>420</v>
      </c>
      <c r="P9" t="s">
        <v>420</v>
      </c>
      <c r="Q9" t="s">
        <v>420</v>
      </c>
      <c r="R9">
        <v>1</v>
      </c>
    </row>
    <row r="10" spans="1:21" x14ac:dyDescent="0.35">
      <c r="A10" t="s">
        <v>492</v>
      </c>
      <c r="B10" s="1">
        <v>2023</v>
      </c>
      <c r="C10">
        <v>117512</v>
      </c>
      <c r="D10">
        <v>0</v>
      </c>
      <c r="E10">
        <v>0</v>
      </c>
      <c r="F10">
        <v>0</v>
      </c>
      <c r="G10">
        <v>0</v>
      </c>
      <c r="H10">
        <v>0</v>
      </c>
      <c r="I10">
        <v>211567</v>
      </c>
      <c r="J10" t="s">
        <v>420</v>
      </c>
      <c r="K10" t="s">
        <v>420</v>
      </c>
      <c r="L10" t="s">
        <v>420</v>
      </c>
      <c r="M10" t="s">
        <v>420</v>
      </c>
      <c r="N10" t="s">
        <v>420</v>
      </c>
      <c r="O10" t="s">
        <v>420</v>
      </c>
      <c r="P10" t="s">
        <v>420</v>
      </c>
      <c r="Q10" t="s">
        <v>420</v>
      </c>
      <c r="R10">
        <v>2</v>
      </c>
    </row>
    <row r="11" spans="1:21" x14ac:dyDescent="0.35">
      <c r="A11" t="s">
        <v>554</v>
      </c>
      <c r="B11" s="1">
        <v>2023</v>
      </c>
      <c r="C11" t="s">
        <v>420</v>
      </c>
      <c r="D11" t="s">
        <v>420</v>
      </c>
      <c r="E11" t="s">
        <v>420</v>
      </c>
      <c r="F11" t="s">
        <v>420</v>
      </c>
      <c r="G11" t="s">
        <v>420</v>
      </c>
      <c r="H11" t="s">
        <v>420</v>
      </c>
      <c r="I11">
        <v>728891</v>
      </c>
      <c r="J11" t="s">
        <v>420</v>
      </c>
      <c r="K11" t="s">
        <v>420</v>
      </c>
      <c r="L11" t="s">
        <v>420</v>
      </c>
      <c r="M11" t="s">
        <v>420</v>
      </c>
      <c r="N11" t="s">
        <v>420</v>
      </c>
      <c r="O11" t="s">
        <v>420</v>
      </c>
      <c r="P11" t="s">
        <v>420</v>
      </c>
      <c r="Q11" t="s">
        <v>420</v>
      </c>
      <c r="R11">
        <v>1</v>
      </c>
    </row>
    <row r="12" spans="1:21" x14ac:dyDescent="0.35">
      <c r="A12" t="s">
        <v>490</v>
      </c>
      <c r="B12" s="1">
        <v>2023</v>
      </c>
      <c r="C12">
        <v>122579</v>
      </c>
      <c r="D12">
        <v>0</v>
      </c>
      <c r="E12">
        <v>0</v>
      </c>
      <c r="F12">
        <v>0</v>
      </c>
      <c r="G12">
        <v>0</v>
      </c>
      <c r="H12">
        <v>0</v>
      </c>
      <c r="I12">
        <v>373272</v>
      </c>
      <c r="J12" t="s">
        <v>420</v>
      </c>
      <c r="K12" t="s">
        <v>420</v>
      </c>
      <c r="L12" t="s">
        <v>420</v>
      </c>
      <c r="M12" t="s">
        <v>420</v>
      </c>
      <c r="N12" t="s">
        <v>420</v>
      </c>
      <c r="O12" t="s">
        <v>420</v>
      </c>
      <c r="P12" t="s">
        <v>420</v>
      </c>
      <c r="Q12" t="s">
        <v>420</v>
      </c>
      <c r="R12">
        <v>2</v>
      </c>
    </row>
    <row r="13" spans="1:21" x14ac:dyDescent="0.35">
      <c r="A13" t="s">
        <v>502</v>
      </c>
      <c r="B13" s="1">
        <v>2023</v>
      </c>
      <c r="C13">
        <v>107482</v>
      </c>
      <c r="D13">
        <v>0</v>
      </c>
      <c r="E13">
        <v>0</v>
      </c>
      <c r="F13">
        <v>0</v>
      </c>
      <c r="G13">
        <v>0</v>
      </c>
      <c r="H13">
        <v>0</v>
      </c>
      <c r="I13">
        <v>244608</v>
      </c>
      <c r="J13" t="s">
        <v>420</v>
      </c>
      <c r="K13" t="s">
        <v>420</v>
      </c>
      <c r="L13" t="s">
        <v>420</v>
      </c>
      <c r="M13" t="s">
        <v>420</v>
      </c>
      <c r="N13" t="s">
        <v>420</v>
      </c>
      <c r="O13" t="s">
        <v>420</v>
      </c>
      <c r="P13" t="s">
        <v>420</v>
      </c>
      <c r="Q13" t="s">
        <v>420</v>
      </c>
      <c r="R13">
        <v>2</v>
      </c>
    </row>
    <row r="14" spans="1:21" x14ac:dyDescent="0.35">
      <c r="A14" t="s">
        <v>460</v>
      </c>
      <c r="B14" s="1">
        <v>2023</v>
      </c>
      <c r="C14">
        <v>0</v>
      </c>
      <c r="D14">
        <v>0</v>
      </c>
      <c r="E14">
        <v>0</v>
      </c>
      <c r="F14">
        <v>0</v>
      </c>
      <c r="G14">
        <v>0</v>
      </c>
      <c r="H14">
        <v>0</v>
      </c>
      <c r="I14">
        <v>282656</v>
      </c>
      <c r="J14" t="s">
        <v>420</v>
      </c>
      <c r="K14" t="s">
        <v>420</v>
      </c>
      <c r="L14" t="s">
        <v>420</v>
      </c>
      <c r="M14" t="s">
        <v>420</v>
      </c>
      <c r="N14" t="s">
        <v>420</v>
      </c>
      <c r="O14" t="s">
        <v>420</v>
      </c>
      <c r="P14" t="s">
        <v>420</v>
      </c>
      <c r="Q14" t="s">
        <v>420</v>
      </c>
      <c r="R14">
        <v>2</v>
      </c>
    </row>
    <row r="15" spans="1:21" x14ac:dyDescent="0.35">
      <c r="A15" t="s">
        <v>527</v>
      </c>
      <c r="B15" s="1">
        <v>2023</v>
      </c>
      <c r="C15">
        <v>149833</v>
      </c>
      <c r="D15">
        <v>0</v>
      </c>
      <c r="E15">
        <v>0</v>
      </c>
      <c r="F15">
        <v>0</v>
      </c>
      <c r="G15">
        <v>0</v>
      </c>
      <c r="H15">
        <v>20000</v>
      </c>
      <c r="I15">
        <v>261120</v>
      </c>
      <c r="J15" t="s">
        <v>420</v>
      </c>
      <c r="K15" t="s">
        <v>420</v>
      </c>
      <c r="L15" t="s">
        <v>420</v>
      </c>
      <c r="M15" t="s">
        <v>420</v>
      </c>
      <c r="N15" t="s">
        <v>420</v>
      </c>
      <c r="O15" t="s">
        <v>420</v>
      </c>
      <c r="P15" t="s">
        <v>420</v>
      </c>
      <c r="Q15" t="s">
        <v>420</v>
      </c>
      <c r="R15">
        <v>1</v>
      </c>
    </row>
    <row r="16" spans="1:21" x14ac:dyDescent="0.35">
      <c r="A16" t="s">
        <v>615</v>
      </c>
      <c r="B16" s="1">
        <v>2023</v>
      </c>
      <c r="C16" t="s">
        <v>420</v>
      </c>
      <c r="D16" t="s">
        <v>420</v>
      </c>
      <c r="E16" t="s">
        <v>420</v>
      </c>
      <c r="F16" t="s">
        <v>420</v>
      </c>
      <c r="G16" t="s">
        <v>420</v>
      </c>
      <c r="H16" t="s">
        <v>420</v>
      </c>
      <c r="I16" t="s">
        <v>420</v>
      </c>
      <c r="J16" t="s">
        <v>420</v>
      </c>
      <c r="K16" t="s">
        <v>420</v>
      </c>
      <c r="L16" t="s">
        <v>420</v>
      </c>
      <c r="M16" t="s">
        <v>420</v>
      </c>
      <c r="N16" t="s">
        <v>420</v>
      </c>
      <c r="O16" t="s">
        <v>420</v>
      </c>
      <c r="P16" t="s">
        <v>420</v>
      </c>
      <c r="Q16" t="s">
        <v>420</v>
      </c>
      <c r="R16">
        <v>1</v>
      </c>
    </row>
    <row r="17" spans="1:18" x14ac:dyDescent="0.35">
      <c r="A17" t="s">
        <v>522</v>
      </c>
      <c r="B17" s="1">
        <v>2023</v>
      </c>
      <c r="C17">
        <v>146609</v>
      </c>
      <c r="D17">
        <v>0</v>
      </c>
      <c r="E17">
        <v>0</v>
      </c>
      <c r="F17">
        <v>0</v>
      </c>
      <c r="G17">
        <v>0</v>
      </c>
      <c r="H17">
        <v>0</v>
      </c>
      <c r="I17">
        <v>272809</v>
      </c>
      <c r="J17" t="s">
        <v>420</v>
      </c>
      <c r="K17" t="s">
        <v>420</v>
      </c>
      <c r="L17" t="s">
        <v>420</v>
      </c>
      <c r="M17" t="s">
        <v>420</v>
      </c>
      <c r="N17" t="s">
        <v>420</v>
      </c>
      <c r="O17" t="s">
        <v>420</v>
      </c>
      <c r="P17" t="s">
        <v>420</v>
      </c>
      <c r="Q17" t="s">
        <v>420</v>
      </c>
      <c r="R17">
        <v>1</v>
      </c>
    </row>
    <row r="18" spans="1:18" x14ac:dyDescent="0.35">
      <c r="A18" t="s">
        <v>596</v>
      </c>
      <c r="B18" s="1">
        <v>2023</v>
      </c>
      <c r="C18">
        <v>34760</v>
      </c>
      <c r="D18">
        <v>0</v>
      </c>
      <c r="E18">
        <v>0</v>
      </c>
      <c r="F18">
        <v>0</v>
      </c>
      <c r="G18">
        <v>0</v>
      </c>
      <c r="H18">
        <v>0</v>
      </c>
      <c r="I18">
        <v>478763</v>
      </c>
      <c r="J18" t="s">
        <v>420</v>
      </c>
      <c r="K18" t="s">
        <v>420</v>
      </c>
      <c r="L18" t="s">
        <v>420</v>
      </c>
      <c r="M18" t="s">
        <v>420</v>
      </c>
      <c r="N18" t="s">
        <v>420</v>
      </c>
      <c r="O18" t="s">
        <v>420</v>
      </c>
      <c r="P18" t="s">
        <v>420</v>
      </c>
      <c r="Q18" t="s">
        <v>420</v>
      </c>
      <c r="R18">
        <v>1</v>
      </c>
    </row>
    <row r="19" spans="1:18" x14ac:dyDescent="0.35">
      <c r="A19" t="s">
        <v>529</v>
      </c>
      <c r="B19" s="1">
        <v>2023</v>
      </c>
      <c r="C19">
        <v>553118</v>
      </c>
      <c r="D19">
        <v>40234</v>
      </c>
      <c r="E19">
        <v>0</v>
      </c>
      <c r="F19">
        <v>0</v>
      </c>
      <c r="G19">
        <v>0</v>
      </c>
      <c r="H19">
        <v>0</v>
      </c>
      <c r="I19">
        <v>1191105</v>
      </c>
      <c r="J19">
        <v>40234</v>
      </c>
      <c r="K19">
        <v>0</v>
      </c>
      <c r="L19">
        <v>0</v>
      </c>
      <c r="M19">
        <v>0</v>
      </c>
      <c r="N19">
        <v>0</v>
      </c>
      <c r="O19">
        <v>1298963</v>
      </c>
      <c r="P19">
        <v>0</v>
      </c>
      <c r="Q19">
        <v>0</v>
      </c>
      <c r="R19">
        <v>1</v>
      </c>
    </row>
    <row r="20" spans="1:18" x14ac:dyDescent="0.35">
      <c r="A20" t="s">
        <v>484</v>
      </c>
      <c r="B20" s="1">
        <v>2023</v>
      </c>
      <c r="C20">
        <v>118543</v>
      </c>
      <c r="D20">
        <v>0</v>
      </c>
      <c r="E20">
        <v>6047</v>
      </c>
      <c r="F20">
        <v>0</v>
      </c>
      <c r="G20">
        <v>34582</v>
      </c>
      <c r="H20">
        <v>0</v>
      </c>
      <c r="I20">
        <v>227169</v>
      </c>
      <c r="J20" t="s">
        <v>420</v>
      </c>
      <c r="K20" t="s">
        <v>420</v>
      </c>
      <c r="L20" t="s">
        <v>420</v>
      </c>
      <c r="M20" t="s">
        <v>420</v>
      </c>
      <c r="N20" t="s">
        <v>420</v>
      </c>
      <c r="O20" t="s">
        <v>420</v>
      </c>
      <c r="P20" t="s">
        <v>420</v>
      </c>
      <c r="Q20" t="s">
        <v>420</v>
      </c>
      <c r="R20">
        <v>2</v>
      </c>
    </row>
    <row r="21" spans="1:18" x14ac:dyDescent="0.35">
      <c r="A21" t="s">
        <v>513</v>
      </c>
      <c r="B21" s="1">
        <v>2023</v>
      </c>
      <c r="C21">
        <v>346046</v>
      </c>
      <c r="D21">
        <v>17361</v>
      </c>
      <c r="E21">
        <v>0</v>
      </c>
      <c r="F21">
        <v>0</v>
      </c>
      <c r="G21">
        <v>0</v>
      </c>
      <c r="H21">
        <v>0</v>
      </c>
      <c r="I21">
        <v>535882</v>
      </c>
      <c r="J21">
        <v>17361</v>
      </c>
      <c r="K21">
        <v>0</v>
      </c>
      <c r="L21">
        <v>0</v>
      </c>
      <c r="M21">
        <v>0</v>
      </c>
      <c r="N21">
        <v>0</v>
      </c>
      <c r="O21">
        <v>575861</v>
      </c>
      <c r="P21">
        <v>0</v>
      </c>
      <c r="Q21">
        <v>0</v>
      </c>
      <c r="R21">
        <v>1</v>
      </c>
    </row>
    <row r="22" spans="1:18" x14ac:dyDescent="0.35">
      <c r="A22" t="s">
        <v>576</v>
      </c>
      <c r="B22" s="1">
        <v>2023</v>
      </c>
      <c r="C22">
        <v>155315</v>
      </c>
      <c r="D22">
        <v>0</v>
      </c>
      <c r="E22">
        <v>0</v>
      </c>
      <c r="F22">
        <v>0</v>
      </c>
      <c r="G22">
        <v>0</v>
      </c>
      <c r="H22">
        <v>0</v>
      </c>
      <c r="I22">
        <v>288813</v>
      </c>
      <c r="J22" t="s">
        <v>420</v>
      </c>
      <c r="K22" t="s">
        <v>420</v>
      </c>
      <c r="L22" t="s">
        <v>420</v>
      </c>
      <c r="M22" t="s">
        <v>420</v>
      </c>
      <c r="N22" t="s">
        <v>420</v>
      </c>
      <c r="O22" t="s">
        <v>420</v>
      </c>
      <c r="P22" t="s">
        <v>420</v>
      </c>
      <c r="Q22" t="s">
        <v>420</v>
      </c>
      <c r="R22">
        <v>1</v>
      </c>
    </row>
    <row r="23" spans="1:18" x14ac:dyDescent="0.35">
      <c r="A23" t="s">
        <v>443</v>
      </c>
      <c r="B23" s="1">
        <v>2023</v>
      </c>
      <c r="C23">
        <v>151350</v>
      </c>
      <c r="D23">
        <v>10179</v>
      </c>
      <c r="E23">
        <v>0</v>
      </c>
      <c r="F23">
        <v>0</v>
      </c>
      <c r="G23">
        <v>21674</v>
      </c>
      <c r="H23">
        <v>0</v>
      </c>
      <c r="I23">
        <v>254316</v>
      </c>
      <c r="J23" t="s">
        <v>420</v>
      </c>
      <c r="K23" t="s">
        <v>420</v>
      </c>
      <c r="L23" t="s">
        <v>420</v>
      </c>
      <c r="M23" t="s">
        <v>420</v>
      </c>
      <c r="N23" t="s">
        <v>420</v>
      </c>
      <c r="O23" t="s">
        <v>420</v>
      </c>
      <c r="P23" t="s">
        <v>420</v>
      </c>
      <c r="Q23" t="s">
        <v>420</v>
      </c>
      <c r="R23">
        <v>2</v>
      </c>
    </row>
    <row r="24" spans="1:18" x14ac:dyDescent="0.35">
      <c r="A24" t="s">
        <v>470</v>
      </c>
      <c r="B24" s="1">
        <v>2023</v>
      </c>
      <c r="C24" t="s">
        <v>420</v>
      </c>
      <c r="D24" t="s">
        <v>420</v>
      </c>
      <c r="E24" t="s">
        <v>420</v>
      </c>
      <c r="F24" t="s">
        <v>420</v>
      </c>
      <c r="G24" t="s">
        <v>420</v>
      </c>
      <c r="H24" t="s">
        <v>420</v>
      </c>
      <c r="I24" t="s">
        <v>420</v>
      </c>
      <c r="J24" t="s">
        <v>420</v>
      </c>
      <c r="K24" t="s">
        <v>420</v>
      </c>
      <c r="L24" t="s">
        <v>420</v>
      </c>
      <c r="M24" t="s">
        <v>420</v>
      </c>
      <c r="N24" t="s">
        <v>420</v>
      </c>
      <c r="O24" t="s">
        <v>420</v>
      </c>
      <c r="P24" t="s">
        <v>420</v>
      </c>
      <c r="Q24" t="s">
        <v>420</v>
      </c>
      <c r="R24">
        <v>2</v>
      </c>
    </row>
    <row r="25" spans="1:18" x14ac:dyDescent="0.35">
      <c r="A25" t="s">
        <v>565</v>
      </c>
      <c r="B25" s="1">
        <v>2023</v>
      </c>
      <c r="C25">
        <v>286179</v>
      </c>
      <c r="D25">
        <v>6000</v>
      </c>
      <c r="E25">
        <v>0</v>
      </c>
      <c r="F25">
        <v>0</v>
      </c>
      <c r="G25">
        <v>0</v>
      </c>
      <c r="H25">
        <v>0</v>
      </c>
      <c r="I25">
        <v>686093</v>
      </c>
      <c r="J25">
        <v>6000</v>
      </c>
      <c r="K25">
        <v>0</v>
      </c>
      <c r="L25">
        <v>0</v>
      </c>
      <c r="M25">
        <v>0</v>
      </c>
      <c r="N25">
        <v>0</v>
      </c>
      <c r="O25">
        <v>789480</v>
      </c>
      <c r="P25" t="s">
        <v>420</v>
      </c>
      <c r="Q25" t="s">
        <v>420</v>
      </c>
      <c r="R25">
        <v>1</v>
      </c>
    </row>
    <row r="26" spans="1:18" x14ac:dyDescent="0.35">
      <c r="A26" t="s">
        <v>453</v>
      </c>
      <c r="B26" s="1">
        <v>2023</v>
      </c>
      <c r="C26">
        <v>418518</v>
      </c>
      <c r="D26">
        <v>0</v>
      </c>
      <c r="E26">
        <v>3672</v>
      </c>
      <c r="F26">
        <v>0</v>
      </c>
      <c r="G26">
        <v>81660</v>
      </c>
      <c r="H26">
        <v>0</v>
      </c>
      <c r="I26">
        <v>1042060</v>
      </c>
      <c r="J26" t="s">
        <v>420</v>
      </c>
      <c r="K26" t="s">
        <v>420</v>
      </c>
      <c r="L26" t="s">
        <v>420</v>
      </c>
      <c r="M26" t="s">
        <v>420</v>
      </c>
      <c r="N26" t="s">
        <v>420</v>
      </c>
      <c r="O26" t="s">
        <v>420</v>
      </c>
      <c r="P26" t="s">
        <v>420</v>
      </c>
      <c r="Q26" t="s">
        <v>420</v>
      </c>
      <c r="R26">
        <v>2</v>
      </c>
    </row>
    <row r="27" spans="1:18" x14ac:dyDescent="0.35">
      <c r="A27" t="s">
        <v>608</v>
      </c>
      <c r="B27" s="1">
        <v>2023</v>
      </c>
      <c r="C27">
        <v>335686</v>
      </c>
      <c r="D27">
        <v>0</v>
      </c>
      <c r="E27">
        <v>0</v>
      </c>
      <c r="F27">
        <v>0</v>
      </c>
      <c r="G27">
        <v>0</v>
      </c>
      <c r="H27">
        <v>0</v>
      </c>
      <c r="I27">
        <v>484597</v>
      </c>
      <c r="J27" t="s">
        <v>420</v>
      </c>
      <c r="K27" t="s">
        <v>420</v>
      </c>
      <c r="L27" t="s">
        <v>420</v>
      </c>
      <c r="M27" t="s">
        <v>420</v>
      </c>
      <c r="N27" t="s">
        <v>420</v>
      </c>
      <c r="O27" t="s">
        <v>420</v>
      </c>
      <c r="P27" t="s">
        <v>420</v>
      </c>
      <c r="Q27" t="s">
        <v>420</v>
      </c>
      <c r="R27">
        <v>1</v>
      </c>
    </row>
    <row r="28" spans="1:18" x14ac:dyDescent="0.35">
      <c r="A28" t="s">
        <v>549</v>
      </c>
      <c r="B28" s="1">
        <v>2023</v>
      </c>
      <c r="C28">
        <v>169508</v>
      </c>
      <c r="D28">
        <v>0</v>
      </c>
      <c r="E28">
        <v>0</v>
      </c>
      <c r="F28">
        <v>0</v>
      </c>
      <c r="G28">
        <v>0</v>
      </c>
      <c r="H28">
        <v>0</v>
      </c>
      <c r="I28">
        <v>439513</v>
      </c>
      <c r="J28" t="s">
        <v>420</v>
      </c>
      <c r="K28" t="s">
        <v>420</v>
      </c>
      <c r="L28" t="s">
        <v>420</v>
      </c>
      <c r="M28" t="s">
        <v>420</v>
      </c>
      <c r="N28" t="s">
        <v>420</v>
      </c>
      <c r="O28" t="s">
        <v>420</v>
      </c>
      <c r="P28" t="s">
        <v>420</v>
      </c>
      <c r="Q28" t="s">
        <v>420</v>
      </c>
      <c r="R28">
        <v>1</v>
      </c>
    </row>
    <row r="29" spans="1:18" x14ac:dyDescent="0.35">
      <c r="A29" t="s">
        <v>525</v>
      </c>
      <c r="B29" s="1">
        <v>2023</v>
      </c>
      <c r="C29">
        <v>108182</v>
      </c>
      <c r="D29">
        <v>0</v>
      </c>
      <c r="E29">
        <v>0</v>
      </c>
      <c r="F29">
        <v>0</v>
      </c>
      <c r="G29">
        <v>0</v>
      </c>
      <c r="H29">
        <v>0</v>
      </c>
      <c r="I29">
        <v>249553</v>
      </c>
      <c r="J29" t="s">
        <v>420</v>
      </c>
      <c r="K29" t="s">
        <v>420</v>
      </c>
      <c r="L29" t="s">
        <v>420</v>
      </c>
      <c r="M29" t="s">
        <v>420</v>
      </c>
      <c r="N29" t="s">
        <v>420</v>
      </c>
      <c r="O29" t="s">
        <v>420</v>
      </c>
      <c r="P29" t="s">
        <v>420</v>
      </c>
      <c r="Q29" t="s">
        <v>420</v>
      </c>
      <c r="R29">
        <v>1</v>
      </c>
    </row>
    <row r="30" spans="1:18" x14ac:dyDescent="0.35">
      <c r="A30" t="s">
        <v>508</v>
      </c>
      <c r="B30" s="1">
        <v>2023</v>
      </c>
      <c r="C30" t="s">
        <v>420</v>
      </c>
      <c r="D30" t="s">
        <v>420</v>
      </c>
      <c r="E30" t="s">
        <v>420</v>
      </c>
      <c r="F30" t="s">
        <v>420</v>
      </c>
      <c r="G30" t="s">
        <v>420</v>
      </c>
      <c r="H30" t="s">
        <v>420</v>
      </c>
      <c r="I30">
        <v>253652</v>
      </c>
      <c r="J30" t="s">
        <v>420</v>
      </c>
      <c r="K30" t="s">
        <v>420</v>
      </c>
      <c r="L30" t="s">
        <v>420</v>
      </c>
      <c r="M30" t="s">
        <v>420</v>
      </c>
      <c r="N30" t="s">
        <v>420</v>
      </c>
      <c r="O30" t="s">
        <v>420</v>
      </c>
      <c r="P30" t="s">
        <v>420</v>
      </c>
      <c r="Q30" t="s">
        <v>420</v>
      </c>
      <c r="R30">
        <v>1</v>
      </c>
    </row>
    <row r="31" spans="1:18" x14ac:dyDescent="0.35">
      <c r="A31" t="s">
        <v>536</v>
      </c>
      <c r="B31" s="1">
        <v>2023</v>
      </c>
      <c r="C31">
        <v>120542</v>
      </c>
      <c r="D31">
        <v>0</v>
      </c>
      <c r="E31">
        <v>0</v>
      </c>
      <c r="F31">
        <v>0</v>
      </c>
      <c r="G31">
        <v>0</v>
      </c>
      <c r="H31">
        <v>0</v>
      </c>
      <c r="I31">
        <v>259245</v>
      </c>
      <c r="J31" t="s">
        <v>420</v>
      </c>
      <c r="K31" t="s">
        <v>420</v>
      </c>
      <c r="L31" t="s">
        <v>420</v>
      </c>
      <c r="M31" t="s">
        <v>420</v>
      </c>
      <c r="N31" t="s">
        <v>420</v>
      </c>
      <c r="O31" t="s">
        <v>420</v>
      </c>
      <c r="P31" t="s">
        <v>420</v>
      </c>
      <c r="Q31" t="s">
        <v>420</v>
      </c>
      <c r="R31">
        <v>1</v>
      </c>
    </row>
    <row r="32" spans="1:18" x14ac:dyDescent="0.35">
      <c r="A32" t="s">
        <v>573</v>
      </c>
      <c r="B32" s="1">
        <v>2023</v>
      </c>
      <c r="C32">
        <v>152206</v>
      </c>
      <c r="D32">
        <v>6300</v>
      </c>
      <c r="E32">
        <v>0</v>
      </c>
      <c r="F32">
        <v>0</v>
      </c>
      <c r="G32">
        <v>0</v>
      </c>
      <c r="H32">
        <v>0</v>
      </c>
      <c r="I32">
        <v>260439</v>
      </c>
      <c r="J32" t="s">
        <v>420</v>
      </c>
      <c r="K32" t="s">
        <v>420</v>
      </c>
      <c r="L32" t="s">
        <v>420</v>
      </c>
      <c r="M32" t="s">
        <v>420</v>
      </c>
      <c r="N32" t="s">
        <v>420</v>
      </c>
      <c r="O32" t="s">
        <v>420</v>
      </c>
      <c r="P32" t="s">
        <v>420</v>
      </c>
      <c r="Q32" t="s">
        <v>420</v>
      </c>
      <c r="R32">
        <v>1</v>
      </c>
    </row>
    <row r="33" spans="1:18" x14ac:dyDescent="0.35">
      <c r="A33" t="s">
        <v>464</v>
      </c>
      <c r="B33" s="1">
        <v>2023</v>
      </c>
      <c r="C33">
        <v>725981</v>
      </c>
      <c r="D33">
        <v>19198</v>
      </c>
      <c r="E33">
        <v>12917</v>
      </c>
      <c r="F33">
        <v>0</v>
      </c>
      <c r="G33">
        <v>12792</v>
      </c>
      <c r="H33">
        <v>0</v>
      </c>
      <c r="I33">
        <v>1165668</v>
      </c>
      <c r="J33">
        <v>19198</v>
      </c>
      <c r="K33">
        <v>0</v>
      </c>
      <c r="L33">
        <v>0</v>
      </c>
      <c r="M33">
        <v>0</v>
      </c>
      <c r="N33">
        <v>0</v>
      </c>
      <c r="O33">
        <v>1330758</v>
      </c>
      <c r="P33">
        <v>0</v>
      </c>
      <c r="Q33">
        <v>0</v>
      </c>
      <c r="R33">
        <v>2</v>
      </c>
    </row>
    <row r="34" spans="1:18" x14ac:dyDescent="0.35">
      <c r="A34" t="s">
        <v>469</v>
      </c>
      <c r="B34" s="1">
        <v>2023</v>
      </c>
      <c r="C34" t="s">
        <v>420</v>
      </c>
      <c r="D34" t="s">
        <v>420</v>
      </c>
      <c r="E34" t="s">
        <v>420</v>
      </c>
      <c r="F34" t="s">
        <v>420</v>
      </c>
      <c r="G34" t="s">
        <v>420</v>
      </c>
      <c r="H34" t="s">
        <v>420</v>
      </c>
      <c r="I34">
        <v>279460</v>
      </c>
      <c r="J34" t="s">
        <v>420</v>
      </c>
      <c r="K34" t="s">
        <v>420</v>
      </c>
      <c r="L34" t="s">
        <v>420</v>
      </c>
      <c r="M34" t="s">
        <v>420</v>
      </c>
      <c r="N34" t="s">
        <v>420</v>
      </c>
      <c r="O34" t="s">
        <v>420</v>
      </c>
      <c r="P34" t="s">
        <v>420</v>
      </c>
      <c r="Q34" t="s">
        <v>420</v>
      </c>
      <c r="R34">
        <v>2</v>
      </c>
    </row>
    <row r="35" spans="1:18" x14ac:dyDescent="0.35">
      <c r="A35" t="s">
        <v>526</v>
      </c>
      <c r="B35" s="1">
        <v>2023</v>
      </c>
      <c r="C35" t="s">
        <v>420</v>
      </c>
      <c r="D35" t="s">
        <v>420</v>
      </c>
      <c r="E35" t="s">
        <v>420</v>
      </c>
      <c r="F35" t="s">
        <v>420</v>
      </c>
      <c r="G35" t="s">
        <v>420</v>
      </c>
      <c r="H35" t="s">
        <v>420</v>
      </c>
      <c r="I35" t="s">
        <v>420</v>
      </c>
      <c r="J35" t="s">
        <v>420</v>
      </c>
      <c r="K35" t="s">
        <v>420</v>
      </c>
      <c r="L35" t="s">
        <v>420</v>
      </c>
      <c r="M35" t="s">
        <v>420</v>
      </c>
      <c r="N35" t="s">
        <v>420</v>
      </c>
      <c r="O35" t="s">
        <v>420</v>
      </c>
      <c r="P35" t="s">
        <v>420</v>
      </c>
      <c r="Q35" t="s">
        <v>420</v>
      </c>
      <c r="R35">
        <v>1</v>
      </c>
    </row>
    <row r="36" spans="1:18" x14ac:dyDescent="0.35">
      <c r="A36" t="s">
        <v>568</v>
      </c>
      <c r="B36" s="1">
        <v>2023</v>
      </c>
      <c r="C36">
        <v>431860</v>
      </c>
      <c r="D36">
        <v>21688</v>
      </c>
      <c r="E36">
        <v>0</v>
      </c>
      <c r="F36">
        <v>0</v>
      </c>
      <c r="G36">
        <v>0</v>
      </c>
      <c r="H36">
        <v>0</v>
      </c>
      <c r="I36">
        <v>925339</v>
      </c>
      <c r="J36" t="s">
        <v>420</v>
      </c>
      <c r="K36" t="s">
        <v>420</v>
      </c>
      <c r="L36" t="s">
        <v>420</v>
      </c>
      <c r="M36" t="s">
        <v>420</v>
      </c>
      <c r="N36" t="s">
        <v>420</v>
      </c>
      <c r="O36" t="s">
        <v>420</v>
      </c>
      <c r="P36" t="s">
        <v>420</v>
      </c>
      <c r="Q36" t="s">
        <v>420</v>
      </c>
      <c r="R36">
        <v>1</v>
      </c>
    </row>
    <row r="37" spans="1:18" x14ac:dyDescent="0.35">
      <c r="A37" t="s">
        <v>541</v>
      </c>
      <c r="B37" s="1">
        <v>2023</v>
      </c>
      <c r="C37" t="s">
        <v>420</v>
      </c>
      <c r="D37" t="s">
        <v>420</v>
      </c>
      <c r="E37" t="s">
        <v>420</v>
      </c>
      <c r="F37" t="s">
        <v>420</v>
      </c>
      <c r="G37" t="s">
        <v>420</v>
      </c>
      <c r="H37" t="s">
        <v>420</v>
      </c>
      <c r="I37" t="s">
        <v>420</v>
      </c>
      <c r="J37" t="s">
        <v>420</v>
      </c>
      <c r="K37" t="s">
        <v>420</v>
      </c>
      <c r="L37" t="s">
        <v>420</v>
      </c>
      <c r="M37" t="s">
        <v>420</v>
      </c>
      <c r="N37" t="s">
        <v>420</v>
      </c>
      <c r="O37" t="s">
        <v>420</v>
      </c>
      <c r="P37" t="s">
        <v>420</v>
      </c>
      <c r="Q37" t="s">
        <v>420</v>
      </c>
      <c r="R37">
        <v>1</v>
      </c>
    </row>
    <row r="38" spans="1:18" x14ac:dyDescent="0.35">
      <c r="A38" t="s">
        <v>532</v>
      </c>
      <c r="B38" s="1">
        <v>2023</v>
      </c>
      <c r="C38" t="s">
        <v>420</v>
      </c>
      <c r="D38" t="s">
        <v>420</v>
      </c>
      <c r="E38" t="s">
        <v>420</v>
      </c>
      <c r="F38" t="s">
        <v>420</v>
      </c>
      <c r="G38" t="s">
        <v>420</v>
      </c>
      <c r="H38" t="s">
        <v>420</v>
      </c>
      <c r="I38" t="s">
        <v>420</v>
      </c>
      <c r="J38" t="s">
        <v>420</v>
      </c>
      <c r="K38" t="s">
        <v>420</v>
      </c>
      <c r="L38" t="s">
        <v>420</v>
      </c>
      <c r="M38" t="s">
        <v>420</v>
      </c>
      <c r="N38" t="s">
        <v>420</v>
      </c>
      <c r="O38" t="s">
        <v>420</v>
      </c>
      <c r="P38" t="s">
        <v>420</v>
      </c>
      <c r="Q38" t="s">
        <v>420</v>
      </c>
      <c r="R38">
        <v>1</v>
      </c>
    </row>
    <row r="39" spans="1:18" x14ac:dyDescent="0.35">
      <c r="A39" t="s">
        <v>533</v>
      </c>
      <c r="B39" s="1">
        <v>2023</v>
      </c>
      <c r="C39">
        <v>97097</v>
      </c>
      <c r="D39">
        <v>0</v>
      </c>
      <c r="E39">
        <v>0</v>
      </c>
      <c r="F39">
        <v>0</v>
      </c>
      <c r="G39">
        <v>0</v>
      </c>
      <c r="H39">
        <v>0</v>
      </c>
      <c r="I39">
        <v>218281</v>
      </c>
      <c r="J39" t="s">
        <v>420</v>
      </c>
      <c r="K39" t="s">
        <v>420</v>
      </c>
      <c r="L39" t="s">
        <v>420</v>
      </c>
      <c r="M39" t="s">
        <v>420</v>
      </c>
      <c r="N39" t="s">
        <v>420</v>
      </c>
      <c r="O39" t="s">
        <v>420</v>
      </c>
      <c r="P39" t="s">
        <v>420</v>
      </c>
      <c r="Q39" t="s">
        <v>420</v>
      </c>
      <c r="R39">
        <v>1</v>
      </c>
    </row>
    <row r="40" spans="1:18" x14ac:dyDescent="0.35">
      <c r="A40" t="s">
        <v>606</v>
      </c>
      <c r="B40" s="1">
        <v>2023</v>
      </c>
      <c r="C40">
        <v>258277</v>
      </c>
      <c r="D40">
        <v>0</v>
      </c>
      <c r="E40">
        <v>0</v>
      </c>
      <c r="F40">
        <v>0</v>
      </c>
      <c r="G40">
        <v>19283</v>
      </c>
      <c r="H40">
        <v>0</v>
      </c>
      <c r="I40">
        <v>360522</v>
      </c>
      <c r="J40" t="s">
        <v>420</v>
      </c>
      <c r="K40" t="s">
        <v>420</v>
      </c>
      <c r="L40" t="s">
        <v>420</v>
      </c>
      <c r="M40" t="s">
        <v>420</v>
      </c>
      <c r="N40" t="s">
        <v>420</v>
      </c>
      <c r="O40" t="s">
        <v>420</v>
      </c>
      <c r="P40" t="s">
        <v>420</v>
      </c>
      <c r="Q40" t="s">
        <v>420</v>
      </c>
      <c r="R40">
        <v>1</v>
      </c>
    </row>
    <row r="41" spans="1:18" x14ac:dyDescent="0.35">
      <c r="A41" t="s">
        <v>641</v>
      </c>
      <c r="B41" s="1">
        <v>2023</v>
      </c>
      <c r="C41">
        <v>482768</v>
      </c>
      <c r="D41">
        <v>0</v>
      </c>
      <c r="E41">
        <v>0</v>
      </c>
      <c r="F41">
        <v>0</v>
      </c>
      <c r="G41">
        <v>0</v>
      </c>
      <c r="H41">
        <v>0</v>
      </c>
      <c r="I41">
        <v>864813</v>
      </c>
      <c r="J41">
        <v>0</v>
      </c>
      <c r="K41">
        <v>0</v>
      </c>
      <c r="L41">
        <v>0</v>
      </c>
      <c r="M41">
        <v>0</v>
      </c>
      <c r="N41">
        <v>0</v>
      </c>
      <c r="O41">
        <v>887239</v>
      </c>
      <c r="P41">
        <v>0</v>
      </c>
      <c r="Q41">
        <v>0</v>
      </c>
      <c r="R41">
        <v>1</v>
      </c>
    </row>
    <row r="42" spans="1:18" x14ac:dyDescent="0.35">
      <c r="A42" t="s">
        <v>545</v>
      </c>
      <c r="B42" s="1">
        <v>2023</v>
      </c>
      <c r="C42">
        <v>285018</v>
      </c>
      <c r="D42">
        <v>0</v>
      </c>
      <c r="E42">
        <v>1265</v>
      </c>
      <c r="F42">
        <v>0</v>
      </c>
      <c r="G42">
        <v>35000</v>
      </c>
      <c r="H42">
        <v>0</v>
      </c>
      <c r="I42">
        <v>506045</v>
      </c>
      <c r="J42" t="s">
        <v>420</v>
      </c>
      <c r="K42" t="s">
        <v>420</v>
      </c>
      <c r="L42" t="s">
        <v>420</v>
      </c>
      <c r="M42" t="s">
        <v>420</v>
      </c>
      <c r="N42" t="s">
        <v>420</v>
      </c>
      <c r="O42" t="s">
        <v>420</v>
      </c>
      <c r="P42" t="s">
        <v>420</v>
      </c>
      <c r="Q42" t="s">
        <v>420</v>
      </c>
      <c r="R42">
        <v>1</v>
      </c>
    </row>
    <row r="43" spans="1:18" x14ac:dyDescent="0.35">
      <c r="A43" t="s">
        <v>562</v>
      </c>
      <c r="B43" s="1">
        <v>2023</v>
      </c>
      <c r="C43">
        <v>149383</v>
      </c>
      <c r="D43">
        <v>18691</v>
      </c>
      <c r="E43">
        <v>0</v>
      </c>
      <c r="F43">
        <v>0</v>
      </c>
      <c r="G43">
        <v>0</v>
      </c>
      <c r="H43">
        <v>0</v>
      </c>
      <c r="I43">
        <v>289594</v>
      </c>
      <c r="J43" t="s">
        <v>420</v>
      </c>
      <c r="K43" t="s">
        <v>420</v>
      </c>
      <c r="L43" t="s">
        <v>420</v>
      </c>
      <c r="M43" t="s">
        <v>420</v>
      </c>
      <c r="N43" t="s">
        <v>420</v>
      </c>
      <c r="O43" t="s">
        <v>420</v>
      </c>
      <c r="P43" t="s">
        <v>420</v>
      </c>
      <c r="Q43" t="s">
        <v>420</v>
      </c>
      <c r="R43">
        <v>1</v>
      </c>
    </row>
    <row r="44" spans="1:18" x14ac:dyDescent="0.35">
      <c r="A44" t="s">
        <v>476</v>
      </c>
      <c r="B44" s="1">
        <v>2023</v>
      </c>
      <c r="C44">
        <v>118000</v>
      </c>
      <c r="D44">
        <v>1500</v>
      </c>
      <c r="E44">
        <v>0</v>
      </c>
      <c r="F44">
        <v>0</v>
      </c>
      <c r="G44">
        <v>0</v>
      </c>
      <c r="H44">
        <v>0</v>
      </c>
      <c r="I44">
        <v>298000</v>
      </c>
      <c r="J44" t="s">
        <v>420</v>
      </c>
      <c r="K44" t="s">
        <v>420</v>
      </c>
      <c r="L44" t="s">
        <v>420</v>
      </c>
      <c r="M44" t="s">
        <v>420</v>
      </c>
      <c r="N44" t="s">
        <v>420</v>
      </c>
      <c r="O44" t="s">
        <v>420</v>
      </c>
      <c r="P44" t="s">
        <v>420</v>
      </c>
      <c r="Q44" t="s">
        <v>420</v>
      </c>
      <c r="R44">
        <v>2</v>
      </c>
    </row>
    <row r="45" spans="1:18" x14ac:dyDescent="0.35">
      <c r="A45" t="s">
        <v>547</v>
      </c>
      <c r="B45" s="1">
        <v>2023</v>
      </c>
      <c r="C45">
        <v>3314149</v>
      </c>
      <c r="D45">
        <v>55350</v>
      </c>
      <c r="E45">
        <v>4704</v>
      </c>
      <c r="F45">
        <v>0</v>
      </c>
      <c r="G45">
        <v>73752</v>
      </c>
      <c r="H45">
        <v>0</v>
      </c>
      <c r="I45">
        <v>8034782</v>
      </c>
      <c r="J45">
        <v>55350</v>
      </c>
      <c r="K45">
        <v>0</v>
      </c>
      <c r="L45">
        <v>0</v>
      </c>
      <c r="M45">
        <v>0</v>
      </c>
      <c r="N45">
        <v>0</v>
      </c>
      <c r="O45">
        <v>8384902</v>
      </c>
      <c r="P45">
        <v>0</v>
      </c>
      <c r="Q45">
        <v>0</v>
      </c>
      <c r="R45">
        <v>1</v>
      </c>
    </row>
    <row r="46" spans="1:18" x14ac:dyDescent="0.35">
      <c r="A46" t="s">
        <v>592</v>
      </c>
      <c r="B46" s="1">
        <v>2023</v>
      </c>
      <c r="C46" t="s">
        <v>420</v>
      </c>
      <c r="D46" t="s">
        <v>420</v>
      </c>
      <c r="E46" t="s">
        <v>420</v>
      </c>
      <c r="F46" t="s">
        <v>420</v>
      </c>
      <c r="G46" t="s">
        <v>420</v>
      </c>
      <c r="H46" t="s">
        <v>420</v>
      </c>
      <c r="I46">
        <v>375287</v>
      </c>
      <c r="J46" t="s">
        <v>420</v>
      </c>
      <c r="K46" t="s">
        <v>420</v>
      </c>
      <c r="L46" t="s">
        <v>420</v>
      </c>
      <c r="M46" t="s">
        <v>420</v>
      </c>
      <c r="N46" t="s">
        <v>420</v>
      </c>
      <c r="O46" t="s">
        <v>420</v>
      </c>
      <c r="P46" t="s">
        <v>420</v>
      </c>
      <c r="Q46" t="s">
        <v>420</v>
      </c>
      <c r="R46">
        <v>1</v>
      </c>
    </row>
    <row r="47" spans="1:18" x14ac:dyDescent="0.35">
      <c r="A47" t="s">
        <v>619</v>
      </c>
      <c r="B47" s="1">
        <v>2023</v>
      </c>
      <c r="C47">
        <v>103121</v>
      </c>
      <c r="D47">
        <v>0</v>
      </c>
      <c r="E47">
        <v>0</v>
      </c>
      <c r="F47">
        <v>0</v>
      </c>
      <c r="G47">
        <v>0</v>
      </c>
      <c r="H47">
        <v>0</v>
      </c>
      <c r="I47">
        <v>403817</v>
      </c>
      <c r="J47" t="s">
        <v>420</v>
      </c>
      <c r="K47" t="s">
        <v>420</v>
      </c>
      <c r="L47" t="s">
        <v>420</v>
      </c>
      <c r="M47" t="s">
        <v>420</v>
      </c>
      <c r="N47" t="s">
        <v>420</v>
      </c>
      <c r="O47" t="s">
        <v>420</v>
      </c>
      <c r="P47" t="s">
        <v>420</v>
      </c>
      <c r="Q47" t="s">
        <v>420</v>
      </c>
      <c r="R47">
        <v>1</v>
      </c>
    </row>
    <row r="48" spans="1:18" x14ac:dyDescent="0.35">
      <c r="A48" t="s">
        <v>585</v>
      </c>
      <c r="B48" s="1">
        <v>2023</v>
      </c>
      <c r="C48">
        <v>129831</v>
      </c>
      <c r="D48">
        <v>16788</v>
      </c>
      <c r="E48">
        <v>0</v>
      </c>
      <c r="F48">
        <v>0</v>
      </c>
      <c r="G48">
        <v>0</v>
      </c>
      <c r="H48">
        <v>0</v>
      </c>
      <c r="I48">
        <v>301145</v>
      </c>
      <c r="J48" t="s">
        <v>420</v>
      </c>
      <c r="K48" t="s">
        <v>420</v>
      </c>
      <c r="L48" t="s">
        <v>420</v>
      </c>
      <c r="M48" t="s">
        <v>420</v>
      </c>
      <c r="N48" t="s">
        <v>420</v>
      </c>
      <c r="O48" t="s">
        <v>420</v>
      </c>
      <c r="P48" t="s">
        <v>420</v>
      </c>
      <c r="Q48" t="s">
        <v>420</v>
      </c>
      <c r="R48">
        <v>1</v>
      </c>
    </row>
    <row r="49" spans="1:18" x14ac:dyDescent="0.35">
      <c r="A49" t="s">
        <v>607</v>
      </c>
      <c r="B49" s="1">
        <v>2023</v>
      </c>
      <c r="C49">
        <v>1222053</v>
      </c>
      <c r="D49">
        <v>71405</v>
      </c>
      <c r="E49">
        <v>0</v>
      </c>
      <c r="F49">
        <v>0</v>
      </c>
      <c r="G49">
        <v>0</v>
      </c>
      <c r="H49">
        <v>0</v>
      </c>
      <c r="I49">
        <v>2311761</v>
      </c>
      <c r="J49">
        <v>0</v>
      </c>
      <c r="K49">
        <v>71405</v>
      </c>
      <c r="L49">
        <v>0</v>
      </c>
      <c r="M49">
        <v>0</v>
      </c>
      <c r="N49">
        <v>0</v>
      </c>
      <c r="O49">
        <v>2510087</v>
      </c>
      <c r="P49" t="s">
        <v>420</v>
      </c>
      <c r="Q49" t="s">
        <v>420</v>
      </c>
      <c r="R49">
        <v>1</v>
      </c>
    </row>
    <row r="50" spans="1:18" x14ac:dyDescent="0.35">
      <c r="A50" t="s">
        <v>548</v>
      </c>
      <c r="B50" s="1">
        <v>2023</v>
      </c>
      <c r="C50">
        <v>325922</v>
      </c>
      <c r="D50">
        <v>0</v>
      </c>
      <c r="E50">
        <v>0</v>
      </c>
      <c r="F50">
        <v>0</v>
      </c>
      <c r="G50">
        <v>0</v>
      </c>
      <c r="H50">
        <v>0</v>
      </c>
      <c r="I50">
        <v>263154</v>
      </c>
      <c r="J50" t="s">
        <v>420</v>
      </c>
      <c r="K50" t="s">
        <v>420</v>
      </c>
      <c r="L50" t="s">
        <v>420</v>
      </c>
      <c r="M50" t="s">
        <v>420</v>
      </c>
      <c r="N50" t="s">
        <v>420</v>
      </c>
      <c r="O50" t="s">
        <v>420</v>
      </c>
      <c r="P50" t="s">
        <v>420</v>
      </c>
      <c r="Q50" t="s">
        <v>420</v>
      </c>
      <c r="R50">
        <v>1</v>
      </c>
    </row>
    <row r="51" spans="1:18" x14ac:dyDescent="0.35">
      <c r="A51" t="s">
        <v>637</v>
      </c>
      <c r="B51" s="1">
        <v>2023</v>
      </c>
      <c r="C51">
        <v>82717</v>
      </c>
      <c r="D51">
        <v>4913</v>
      </c>
      <c r="E51">
        <v>2686</v>
      </c>
      <c r="F51">
        <v>0</v>
      </c>
      <c r="G51">
        <v>7677</v>
      </c>
      <c r="H51">
        <v>0</v>
      </c>
      <c r="I51">
        <v>197708</v>
      </c>
      <c r="J51" t="s">
        <v>420</v>
      </c>
      <c r="K51" t="s">
        <v>420</v>
      </c>
      <c r="L51" t="s">
        <v>420</v>
      </c>
      <c r="M51" t="s">
        <v>420</v>
      </c>
      <c r="N51" t="s">
        <v>420</v>
      </c>
      <c r="O51" t="s">
        <v>420</v>
      </c>
      <c r="P51" t="s">
        <v>420</v>
      </c>
      <c r="Q51" t="s">
        <v>420</v>
      </c>
      <c r="R51">
        <v>1</v>
      </c>
    </row>
    <row r="52" spans="1:18" x14ac:dyDescent="0.35">
      <c r="A52" t="s">
        <v>494</v>
      </c>
      <c r="B52" s="1">
        <v>2023</v>
      </c>
      <c r="C52">
        <v>1258637</v>
      </c>
      <c r="D52">
        <v>39103</v>
      </c>
      <c r="E52">
        <v>0</v>
      </c>
      <c r="F52">
        <v>0</v>
      </c>
      <c r="G52">
        <v>0</v>
      </c>
      <c r="H52">
        <v>0</v>
      </c>
      <c r="I52">
        <v>1822026</v>
      </c>
      <c r="J52">
        <v>39103</v>
      </c>
      <c r="K52">
        <v>0</v>
      </c>
      <c r="L52">
        <v>0</v>
      </c>
      <c r="M52">
        <v>0</v>
      </c>
      <c r="N52">
        <v>0</v>
      </c>
      <c r="O52">
        <v>1959742</v>
      </c>
      <c r="P52">
        <v>0</v>
      </c>
      <c r="Q52">
        <v>0</v>
      </c>
      <c r="R52">
        <v>2</v>
      </c>
    </row>
    <row r="53" spans="1:18" x14ac:dyDescent="0.35">
      <c r="A53" t="s">
        <v>491</v>
      </c>
      <c r="B53" s="1">
        <v>2023</v>
      </c>
      <c r="C53" t="s">
        <v>420</v>
      </c>
      <c r="D53" t="s">
        <v>420</v>
      </c>
      <c r="E53" t="s">
        <v>420</v>
      </c>
      <c r="F53" t="s">
        <v>420</v>
      </c>
      <c r="G53" t="s">
        <v>420</v>
      </c>
      <c r="H53" t="s">
        <v>420</v>
      </c>
      <c r="I53" t="s">
        <v>420</v>
      </c>
      <c r="J53" t="s">
        <v>420</v>
      </c>
      <c r="K53" t="s">
        <v>420</v>
      </c>
      <c r="L53" t="s">
        <v>420</v>
      </c>
      <c r="M53" t="s">
        <v>420</v>
      </c>
      <c r="N53" t="s">
        <v>420</v>
      </c>
      <c r="O53" t="s">
        <v>420</v>
      </c>
      <c r="P53" t="s">
        <v>420</v>
      </c>
      <c r="Q53" t="s">
        <v>420</v>
      </c>
      <c r="R53">
        <v>2</v>
      </c>
    </row>
    <row r="54" spans="1:18" x14ac:dyDescent="0.35">
      <c r="A54" t="s">
        <v>512</v>
      </c>
      <c r="B54" s="1">
        <v>2023</v>
      </c>
      <c r="C54">
        <v>325723</v>
      </c>
      <c r="D54">
        <v>0</v>
      </c>
      <c r="E54">
        <v>0</v>
      </c>
      <c r="F54">
        <v>0</v>
      </c>
      <c r="G54">
        <v>0</v>
      </c>
      <c r="H54">
        <v>0</v>
      </c>
      <c r="I54">
        <v>531056</v>
      </c>
      <c r="J54">
        <v>0</v>
      </c>
      <c r="K54">
        <v>0</v>
      </c>
      <c r="L54">
        <v>0</v>
      </c>
      <c r="M54">
        <v>0</v>
      </c>
      <c r="N54">
        <v>0</v>
      </c>
      <c r="O54">
        <v>586398</v>
      </c>
      <c r="P54">
        <v>0</v>
      </c>
      <c r="Q54">
        <v>0</v>
      </c>
      <c r="R54">
        <v>1</v>
      </c>
    </row>
    <row r="55" spans="1:18" x14ac:dyDescent="0.35">
      <c r="A55" t="s">
        <v>640</v>
      </c>
      <c r="B55" s="1">
        <v>2023</v>
      </c>
      <c r="C55">
        <v>76332</v>
      </c>
      <c r="D55">
        <v>5905</v>
      </c>
      <c r="E55">
        <v>0</v>
      </c>
      <c r="F55">
        <v>0</v>
      </c>
      <c r="G55">
        <v>0</v>
      </c>
      <c r="H55">
        <v>0</v>
      </c>
      <c r="I55">
        <v>182134</v>
      </c>
      <c r="J55" t="s">
        <v>420</v>
      </c>
      <c r="K55" t="s">
        <v>420</v>
      </c>
      <c r="L55" t="s">
        <v>420</v>
      </c>
      <c r="M55" t="s">
        <v>420</v>
      </c>
      <c r="N55" t="s">
        <v>420</v>
      </c>
      <c r="O55" t="s">
        <v>420</v>
      </c>
      <c r="P55" t="s">
        <v>420</v>
      </c>
      <c r="Q55" t="s">
        <v>420</v>
      </c>
      <c r="R55">
        <v>1</v>
      </c>
    </row>
    <row r="56" spans="1:18" x14ac:dyDescent="0.35">
      <c r="A56" t="s">
        <v>477</v>
      </c>
      <c r="B56" s="1">
        <v>2023</v>
      </c>
      <c r="C56">
        <v>846070</v>
      </c>
      <c r="D56">
        <v>15774</v>
      </c>
      <c r="E56">
        <v>0</v>
      </c>
      <c r="F56">
        <v>0</v>
      </c>
      <c r="G56">
        <v>0</v>
      </c>
      <c r="H56">
        <v>0</v>
      </c>
      <c r="I56">
        <v>1913990</v>
      </c>
      <c r="J56">
        <v>0</v>
      </c>
      <c r="K56">
        <v>15774</v>
      </c>
      <c r="L56">
        <v>0</v>
      </c>
      <c r="M56">
        <v>0</v>
      </c>
      <c r="N56">
        <v>0</v>
      </c>
      <c r="O56">
        <v>2150182</v>
      </c>
      <c r="P56">
        <v>0</v>
      </c>
      <c r="Q56">
        <v>0</v>
      </c>
      <c r="R56">
        <v>2</v>
      </c>
    </row>
    <row r="57" spans="1:18" x14ac:dyDescent="0.35">
      <c r="A57" t="s">
        <v>478</v>
      </c>
      <c r="B57" s="1">
        <v>2023</v>
      </c>
      <c r="C57">
        <v>69321</v>
      </c>
      <c r="D57">
        <v>0</v>
      </c>
      <c r="E57">
        <v>0</v>
      </c>
      <c r="F57">
        <v>0</v>
      </c>
      <c r="G57">
        <v>0</v>
      </c>
      <c r="H57">
        <v>0</v>
      </c>
      <c r="I57">
        <v>220302</v>
      </c>
      <c r="J57">
        <v>0</v>
      </c>
      <c r="K57">
        <v>0</v>
      </c>
      <c r="L57">
        <v>0</v>
      </c>
      <c r="M57">
        <v>0</v>
      </c>
      <c r="N57">
        <v>0</v>
      </c>
      <c r="O57">
        <v>106189</v>
      </c>
      <c r="P57">
        <v>0</v>
      </c>
      <c r="Q57">
        <v>0</v>
      </c>
      <c r="R57">
        <v>2</v>
      </c>
    </row>
    <row r="58" spans="1:18" x14ac:dyDescent="0.35">
      <c r="A58" t="s">
        <v>465</v>
      </c>
      <c r="B58" s="1">
        <v>2023</v>
      </c>
      <c r="C58">
        <v>1750746</v>
      </c>
      <c r="D58">
        <v>0</v>
      </c>
      <c r="E58">
        <v>64916</v>
      </c>
      <c r="F58">
        <v>0</v>
      </c>
      <c r="G58">
        <v>352301</v>
      </c>
      <c r="H58">
        <v>0</v>
      </c>
      <c r="I58">
        <v>3158480</v>
      </c>
      <c r="J58">
        <v>0</v>
      </c>
      <c r="K58">
        <v>0</v>
      </c>
      <c r="L58">
        <v>0</v>
      </c>
      <c r="M58">
        <v>0</v>
      </c>
      <c r="N58">
        <v>0</v>
      </c>
      <c r="O58">
        <v>3503477</v>
      </c>
      <c r="P58">
        <v>0</v>
      </c>
      <c r="Q58">
        <v>0</v>
      </c>
      <c r="R58">
        <v>2</v>
      </c>
    </row>
    <row r="59" spans="1:18" x14ac:dyDescent="0.35">
      <c r="A59" t="s">
        <v>441</v>
      </c>
      <c r="B59" s="1">
        <v>2023</v>
      </c>
      <c r="C59">
        <v>1304716</v>
      </c>
      <c r="D59">
        <v>52069</v>
      </c>
      <c r="E59">
        <v>0</v>
      </c>
      <c r="F59">
        <v>0</v>
      </c>
      <c r="G59">
        <v>6882</v>
      </c>
      <c r="H59">
        <v>5000</v>
      </c>
      <c r="I59">
        <v>2646607</v>
      </c>
      <c r="J59">
        <v>52069</v>
      </c>
      <c r="K59">
        <v>0</v>
      </c>
      <c r="L59">
        <v>0</v>
      </c>
      <c r="M59">
        <v>0</v>
      </c>
      <c r="N59">
        <v>0</v>
      </c>
      <c r="O59">
        <v>3240404</v>
      </c>
      <c r="P59">
        <v>0</v>
      </c>
      <c r="Q59">
        <v>0</v>
      </c>
      <c r="R59">
        <v>2</v>
      </c>
    </row>
    <row r="60" spans="1:18" x14ac:dyDescent="0.35">
      <c r="A60" t="s">
        <v>454</v>
      </c>
      <c r="B60" s="1">
        <v>2023</v>
      </c>
      <c r="C60">
        <v>686474</v>
      </c>
      <c r="D60">
        <v>3761</v>
      </c>
      <c r="E60">
        <v>0</v>
      </c>
      <c r="F60">
        <v>0</v>
      </c>
      <c r="G60">
        <v>0</v>
      </c>
      <c r="H60">
        <v>0</v>
      </c>
      <c r="I60">
        <v>1589896</v>
      </c>
      <c r="J60">
        <v>0</v>
      </c>
      <c r="K60">
        <v>3761</v>
      </c>
      <c r="L60">
        <v>0</v>
      </c>
      <c r="M60">
        <v>0</v>
      </c>
      <c r="N60">
        <v>0</v>
      </c>
      <c r="O60">
        <v>1203001</v>
      </c>
      <c r="P60">
        <v>0</v>
      </c>
      <c r="Q60">
        <v>0</v>
      </c>
      <c r="R60">
        <v>2</v>
      </c>
    </row>
    <row r="61" spans="1:18" x14ac:dyDescent="0.35">
      <c r="A61" t="s">
        <v>417</v>
      </c>
      <c r="B61" s="1">
        <v>2023</v>
      </c>
      <c r="C61">
        <v>1872568</v>
      </c>
      <c r="D61">
        <v>82160</v>
      </c>
      <c r="E61">
        <v>0</v>
      </c>
      <c r="F61">
        <v>0</v>
      </c>
      <c r="G61">
        <v>0</v>
      </c>
      <c r="H61">
        <v>0</v>
      </c>
      <c r="I61">
        <v>4808089</v>
      </c>
      <c r="J61">
        <v>82160</v>
      </c>
      <c r="K61">
        <v>0</v>
      </c>
      <c r="L61">
        <v>0</v>
      </c>
      <c r="M61">
        <v>0</v>
      </c>
      <c r="N61">
        <v>0</v>
      </c>
      <c r="O61">
        <v>2514557</v>
      </c>
      <c r="P61">
        <v>0</v>
      </c>
      <c r="Q61">
        <v>0</v>
      </c>
      <c r="R61">
        <v>2</v>
      </c>
    </row>
    <row r="62" spans="1:18" x14ac:dyDescent="0.35">
      <c r="A62" t="s">
        <v>471</v>
      </c>
      <c r="B62" s="1">
        <v>2023</v>
      </c>
      <c r="C62">
        <v>184774</v>
      </c>
      <c r="D62">
        <v>0</v>
      </c>
      <c r="E62">
        <v>0</v>
      </c>
      <c r="F62">
        <v>0</v>
      </c>
      <c r="G62">
        <v>0</v>
      </c>
      <c r="H62">
        <v>0</v>
      </c>
      <c r="I62">
        <v>202423</v>
      </c>
      <c r="J62" t="s">
        <v>420</v>
      </c>
      <c r="K62" t="s">
        <v>420</v>
      </c>
      <c r="L62" t="s">
        <v>420</v>
      </c>
      <c r="M62" t="s">
        <v>420</v>
      </c>
      <c r="N62" t="s">
        <v>420</v>
      </c>
      <c r="O62" t="s">
        <v>420</v>
      </c>
      <c r="P62" t="s">
        <v>420</v>
      </c>
      <c r="Q62" t="s">
        <v>420</v>
      </c>
      <c r="R62">
        <v>2</v>
      </c>
    </row>
    <row r="63" spans="1:18" x14ac:dyDescent="0.35">
      <c r="A63" t="s">
        <v>647</v>
      </c>
      <c r="B63" s="1">
        <v>2023</v>
      </c>
      <c r="C63">
        <v>3082437</v>
      </c>
      <c r="D63">
        <v>23263</v>
      </c>
      <c r="E63">
        <v>0</v>
      </c>
      <c r="F63">
        <v>0</v>
      </c>
      <c r="G63">
        <v>0</v>
      </c>
      <c r="H63">
        <v>0</v>
      </c>
      <c r="I63">
        <v>4294983</v>
      </c>
      <c r="J63">
        <v>23263</v>
      </c>
      <c r="K63">
        <v>0</v>
      </c>
      <c r="L63">
        <v>0</v>
      </c>
      <c r="M63">
        <v>0</v>
      </c>
      <c r="N63">
        <v>0</v>
      </c>
      <c r="O63">
        <v>5008000</v>
      </c>
      <c r="P63">
        <v>0</v>
      </c>
      <c r="Q63">
        <v>0</v>
      </c>
      <c r="R63">
        <v>1</v>
      </c>
    </row>
    <row r="64" spans="1:18" x14ac:dyDescent="0.35">
      <c r="A64" t="s">
        <v>456</v>
      </c>
      <c r="B64" s="1">
        <v>2023</v>
      </c>
      <c r="C64">
        <v>1003841</v>
      </c>
      <c r="D64">
        <v>63987</v>
      </c>
      <c r="E64">
        <v>0</v>
      </c>
      <c r="F64">
        <v>0</v>
      </c>
      <c r="G64">
        <v>0</v>
      </c>
      <c r="H64">
        <v>0</v>
      </c>
      <c r="I64">
        <v>1849073</v>
      </c>
      <c r="J64" t="s">
        <v>420</v>
      </c>
      <c r="K64" t="s">
        <v>420</v>
      </c>
      <c r="L64" t="s">
        <v>420</v>
      </c>
      <c r="M64" t="s">
        <v>420</v>
      </c>
      <c r="N64" t="s">
        <v>420</v>
      </c>
      <c r="O64" t="s">
        <v>420</v>
      </c>
      <c r="P64" t="s">
        <v>420</v>
      </c>
      <c r="Q64" t="s">
        <v>420</v>
      </c>
      <c r="R64">
        <v>2</v>
      </c>
    </row>
    <row r="65" spans="1:18" x14ac:dyDescent="0.35">
      <c r="A65" t="s">
        <v>594</v>
      </c>
      <c r="B65" s="1">
        <v>2023</v>
      </c>
      <c r="C65">
        <v>191271</v>
      </c>
      <c r="D65">
        <v>0</v>
      </c>
      <c r="E65">
        <v>0</v>
      </c>
      <c r="F65">
        <v>0</v>
      </c>
      <c r="G65">
        <v>0</v>
      </c>
      <c r="H65">
        <v>0</v>
      </c>
      <c r="I65">
        <v>295060</v>
      </c>
      <c r="J65" t="s">
        <v>420</v>
      </c>
      <c r="K65" t="s">
        <v>420</v>
      </c>
      <c r="L65" t="s">
        <v>420</v>
      </c>
      <c r="M65" t="s">
        <v>420</v>
      </c>
      <c r="N65" t="s">
        <v>420</v>
      </c>
      <c r="O65" t="s">
        <v>420</v>
      </c>
      <c r="P65" t="s">
        <v>420</v>
      </c>
      <c r="Q65" t="s">
        <v>420</v>
      </c>
      <c r="R65">
        <v>1</v>
      </c>
    </row>
    <row r="66" spans="1:18" x14ac:dyDescent="0.35">
      <c r="A66" t="s">
        <v>564</v>
      </c>
      <c r="B66" s="1">
        <v>2023</v>
      </c>
      <c r="C66">
        <v>410200</v>
      </c>
      <c r="D66">
        <v>15717</v>
      </c>
      <c r="E66">
        <v>0</v>
      </c>
      <c r="F66">
        <v>0</v>
      </c>
      <c r="G66">
        <v>0</v>
      </c>
      <c r="H66">
        <v>0</v>
      </c>
      <c r="I66">
        <v>1105097</v>
      </c>
      <c r="J66">
        <v>15717</v>
      </c>
      <c r="K66">
        <v>0</v>
      </c>
      <c r="L66">
        <v>0</v>
      </c>
      <c r="M66">
        <v>0</v>
      </c>
      <c r="N66">
        <v>0</v>
      </c>
      <c r="O66">
        <v>1273180</v>
      </c>
      <c r="P66" t="s">
        <v>420</v>
      </c>
      <c r="Q66" t="s">
        <v>420</v>
      </c>
      <c r="R66">
        <v>1</v>
      </c>
    </row>
    <row r="67" spans="1:18" x14ac:dyDescent="0.35">
      <c r="A67" t="s">
        <v>447</v>
      </c>
      <c r="B67" s="1">
        <v>2023</v>
      </c>
      <c r="C67" t="s">
        <v>420</v>
      </c>
      <c r="D67" t="s">
        <v>420</v>
      </c>
      <c r="E67" t="s">
        <v>420</v>
      </c>
      <c r="F67" t="s">
        <v>420</v>
      </c>
      <c r="G67" t="s">
        <v>420</v>
      </c>
      <c r="H67" t="s">
        <v>420</v>
      </c>
      <c r="I67">
        <v>480995</v>
      </c>
      <c r="J67" t="s">
        <v>420</v>
      </c>
      <c r="K67" t="s">
        <v>420</v>
      </c>
      <c r="L67" t="s">
        <v>420</v>
      </c>
      <c r="M67" t="s">
        <v>420</v>
      </c>
      <c r="N67" t="s">
        <v>420</v>
      </c>
      <c r="O67" t="s">
        <v>420</v>
      </c>
      <c r="P67" t="s">
        <v>420</v>
      </c>
      <c r="Q67" t="s">
        <v>420</v>
      </c>
      <c r="R67">
        <v>2</v>
      </c>
    </row>
    <row r="68" spans="1:18" x14ac:dyDescent="0.35">
      <c r="A68" t="s">
        <v>567</v>
      </c>
      <c r="B68" s="1">
        <v>2023</v>
      </c>
      <c r="C68">
        <v>213896</v>
      </c>
      <c r="D68">
        <v>0</v>
      </c>
      <c r="E68">
        <v>0</v>
      </c>
      <c r="F68">
        <v>0</v>
      </c>
      <c r="G68">
        <v>0</v>
      </c>
      <c r="H68">
        <v>0</v>
      </c>
      <c r="I68">
        <v>329500</v>
      </c>
      <c r="J68" t="s">
        <v>420</v>
      </c>
      <c r="K68" t="s">
        <v>420</v>
      </c>
      <c r="L68" t="s">
        <v>420</v>
      </c>
      <c r="M68" t="s">
        <v>420</v>
      </c>
      <c r="N68" t="s">
        <v>420</v>
      </c>
      <c r="O68" t="s">
        <v>420</v>
      </c>
      <c r="P68" t="s">
        <v>420</v>
      </c>
      <c r="Q68" t="s">
        <v>420</v>
      </c>
      <c r="R68">
        <v>1</v>
      </c>
    </row>
    <row r="69" spans="1:18" x14ac:dyDescent="0.35">
      <c r="A69" t="s">
        <v>588</v>
      </c>
      <c r="B69" s="1">
        <v>2023</v>
      </c>
      <c r="C69">
        <v>177085</v>
      </c>
      <c r="D69">
        <v>0</v>
      </c>
      <c r="E69">
        <v>0</v>
      </c>
      <c r="F69">
        <v>0</v>
      </c>
      <c r="G69">
        <v>0</v>
      </c>
      <c r="H69">
        <v>0</v>
      </c>
      <c r="I69">
        <v>244495</v>
      </c>
      <c r="J69" t="s">
        <v>420</v>
      </c>
      <c r="K69" t="s">
        <v>420</v>
      </c>
      <c r="L69" t="s">
        <v>420</v>
      </c>
      <c r="M69" t="s">
        <v>420</v>
      </c>
      <c r="N69" t="s">
        <v>420</v>
      </c>
      <c r="O69" t="s">
        <v>420</v>
      </c>
      <c r="P69" t="s">
        <v>420</v>
      </c>
      <c r="Q69" t="s">
        <v>420</v>
      </c>
      <c r="R69">
        <v>1</v>
      </c>
    </row>
    <row r="70" spans="1:18" x14ac:dyDescent="0.35">
      <c r="A70" t="s">
        <v>514</v>
      </c>
      <c r="B70" s="1">
        <v>2023</v>
      </c>
      <c r="C70" t="s">
        <v>420</v>
      </c>
      <c r="D70" t="s">
        <v>420</v>
      </c>
      <c r="E70" t="s">
        <v>420</v>
      </c>
      <c r="F70" t="s">
        <v>420</v>
      </c>
      <c r="G70" t="s">
        <v>420</v>
      </c>
      <c r="H70" t="s">
        <v>420</v>
      </c>
      <c r="I70" t="s">
        <v>420</v>
      </c>
      <c r="J70" t="s">
        <v>420</v>
      </c>
      <c r="K70" t="s">
        <v>420</v>
      </c>
      <c r="L70" t="s">
        <v>420</v>
      </c>
      <c r="M70" t="s">
        <v>420</v>
      </c>
      <c r="N70" t="s">
        <v>420</v>
      </c>
      <c r="O70" t="s">
        <v>420</v>
      </c>
      <c r="P70" t="s">
        <v>420</v>
      </c>
      <c r="Q70" t="s">
        <v>420</v>
      </c>
      <c r="R70">
        <v>1</v>
      </c>
    </row>
    <row r="71" spans="1:18" x14ac:dyDescent="0.35">
      <c r="A71" t="s">
        <v>421</v>
      </c>
      <c r="B71" s="1">
        <v>2023</v>
      </c>
      <c r="C71">
        <v>607082</v>
      </c>
      <c r="D71">
        <v>0</v>
      </c>
      <c r="E71">
        <v>0</v>
      </c>
      <c r="F71" t="s">
        <v>420</v>
      </c>
      <c r="G71">
        <v>0</v>
      </c>
      <c r="H71" t="s">
        <v>420</v>
      </c>
      <c r="I71">
        <v>1286637</v>
      </c>
      <c r="J71" t="s">
        <v>420</v>
      </c>
      <c r="K71" t="s">
        <v>420</v>
      </c>
      <c r="L71" t="s">
        <v>420</v>
      </c>
      <c r="M71" t="s">
        <v>420</v>
      </c>
      <c r="N71" t="s">
        <v>420</v>
      </c>
      <c r="O71">
        <v>1394001</v>
      </c>
      <c r="P71" t="s">
        <v>420</v>
      </c>
      <c r="Q71" t="s">
        <v>420</v>
      </c>
      <c r="R71">
        <v>2</v>
      </c>
    </row>
    <row r="72" spans="1:18" x14ac:dyDescent="0.35">
      <c r="A72" t="s">
        <v>429</v>
      </c>
      <c r="B72" s="1">
        <v>2023</v>
      </c>
      <c r="C72">
        <v>740763</v>
      </c>
      <c r="D72">
        <v>82111</v>
      </c>
      <c r="E72">
        <v>0</v>
      </c>
      <c r="F72">
        <v>0</v>
      </c>
      <c r="G72">
        <v>0</v>
      </c>
      <c r="H72">
        <v>0</v>
      </c>
      <c r="I72">
        <v>1830702</v>
      </c>
      <c r="J72" t="s">
        <v>420</v>
      </c>
      <c r="K72" t="s">
        <v>420</v>
      </c>
      <c r="L72" t="s">
        <v>420</v>
      </c>
      <c r="M72" t="s">
        <v>420</v>
      </c>
      <c r="N72" t="s">
        <v>420</v>
      </c>
      <c r="O72" t="s">
        <v>420</v>
      </c>
      <c r="P72" t="s">
        <v>420</v>
      </c>
      <c r="Q72" t="s">
        <v>420</v>
      </c>
      <c r="R72">
        <v>2</v>
      </c>
    </row>
    <row r="73" spans="1:18" x14ac:dyDescent="0.35">
      <c r="A73" t="s">
        <v>499</v>
      </c>
      <c r="B73" s="1">
        <v>2023</v>
      </c>
      <c r="C73">
        <v>696782</v>
      </c>
      <c r="D73">
        <v>0</v>
      </c>
      <c r="E73">
        <v>0</v>
      </c>
      <c r="F73">
        <v>0</v>
      </c>
      <c r="G73">
        <v>0</v>
      </c>
      <c r="H73">
        <v>0</v>
      </c>
      <c r="I73">
        <v>1253299</v>
      </c>
      <c r="J73" t="s">
        <v>420</v>
      </c>
      <c r="K73" t="s">
        <v>420</v>
      </c>
      <c r="L73" t="s">
        <v>420</v>
      </c>
      <c r="M73" t="s">
        <v>420</v>
      </c>
      <c r="N73" t="s">
        <v>420</v>
      </c>
      <c r="O73" t="s">
        <v>420</v>
      </c>
      <c r="P73" t="s">
        <v>420</v>
      </c>
      <c r="Q73" t="s">
        <v>420</v>
      </c>
      <c r="R73">
        <v>2</v>
      </c>
    </row>
    <row r="74" spans="1:18" x14ac:dyDescent="0.35">
      <c r="A74" t="s">
        <v>589</v>
      </c>
      <c r="B74" s="1">
        <v>2023</v>
      </c>
      <c r="C74">
        <v>226569</v>
      </c>
      <c r="D74">
        <v>2750</v>
      </c>
      <c r="E74">
        <v>0</v>
      </c>
      <c r="F74">
        <v>0</v>
      </c>
      <c r="G74">
        <v>0</v>
      </c>
      <c r="H74">
        <v>0</v>
      </c>
      <c r="I74">
        <v>528255</v>
      </c>
      <c r="J74" t="s">
        <v>420</v>
      </c>
      <c r="K74" t="s">
        <v>420</v>
      </c>
      <c r="L74" t="s">
        <v>420</v>
      </c>
      <c r="M74" t="s">
        <v>420</v>
      </c>
      <c r="N74" t="s">
        <v>420</v>
      </c>
      <c r="O74" t="s">
        <v>420</v>
      </c>
      <c r="P74" t="s">
        <v>420</v>
      </c>
      <c r="Q74" t="s">
        <v>420</v>
      </c>
      <c r="R74">
        <v>1</v>
      </c>
    </row>
    <row r="75" spans="1:18" x14ac:dyDescent="0.35">
      <c r="A75" t="s">
        <v>634</v>
      </c>
      <c r="B75" s="1">
        <v>2023</v>
      </c>
      <c r="C75">
        <v>132365</v>
      </c>
      <c r="D75">
        <v>7199</v>
      </c>
      <c r="E75">
        <v>0</v>
      </c>
      <c r="F75">
        <v>0</v>
      </c>
      <c r="G75">
        <v>0</v>
      </c>
      <c r="H75">
        <v>0</v>
      </c>
      <c r="I75">
        <v>282106</v>
      </c>
      <c r="J75" t="s">
        <v>420</v>
      </c>
      <c r="K75" t="s">
        <v>420</v>
      </c>
      <c r="L75" t="s">
        <v>420</v>
      </c>
      <c r="M75" t="s">
        <v>420</v>
      </c>
      <c r="N75" t="s">
        <v>420</v>
      </c>
      <c r="O75" t="s">
        <v>420</v>
      </c>
      <c r="P75" t="s">
        <v>420</v>
      </c>
      <c r="Q75" t="s">
        <v>420</v>
      </c>
      <c r="R75">
        <v>1</v>
      </c>
    </row>
    <row r="76" spans="1:18" x14ac:dyDescent="0.35">
      <c r="A76" t="s">
        <v>448</v>
      </c>
      <c r="B76" s="1">
        <v>2023</v>
      </c>
      <c r="C76">
        <v>461100</v>
      </c>
      <c r="D76">
        <v>0</v>
      </c>
      <c r="E76">
        <v>26598</v>
      </c>
      <c r="F76">
        <v>0</v>
      </c>
      <c r="G76">
        <v>59501</v>
      </c>
      <c r="H76">
        <v>0</v>
      </c>
      <c r="I76">
        <v>627017</v>
      </c>
      <c r="J76">
        <v>0</v>
      </c>
      <c r="K76">
        <v>0</v>
      </c>
      <c r="L76">
        <v>0</v>
      </c>
      <c r="M76">
        <v>0</v>
      </c>
      <c r="N76">
        <v>0</v>
      </c>
      <c r="O76">
        <v>750544</v>
      </c>
      <c r="P76">
        <v>0</v>
      </c>
      <c r="Q76">
        <v>0</v>
      </c>
      <c r="R76">
        <v>2</v>
      </c>
    </row>
    <row r="77" spans="1:18" x14ac:dyDescent="0.35">
      <c r="A77" t="s">
        <v>449</v>
      </c>
      <c r="B77" s="1">
        <v>2023</v>
      </c>
      <c r="C77" t="s">
        <v>420</v>
      </c>
      <c r="D77" t="s">
        <v>420</v>
      </c>
      <c r="E77" t="s">
        <v>420</v>
      </c>
      <c r="F77" t="s">
        <v>420</v>
      </c>
      <c r="G77" t="s">
        <v>420</v>
      </c>
      <c r="H77" t="s">
        <v>420</v>
      </c>
      <c r="I77" t="s">
        <v>420</v>
      </c>
      <c r="J77" t="s">
        <v>420</v>
      </c>
      <c r="K77" t="s">
        <v>420</v>
      </c>
      <c r="L77" t="s">
        <v>420</v>
      </c>
      <c r="M77" t="s">
        <v>420</v>
      </c>
      <c r="N77" t="s">
        <v>420</v>
      </c>
      <c r="O77" t="s">
        <v>420</v>
      </c>
      <c r="P77" t="s">
        <v>420</v>
      </c>
      <c r="Q77" t="s">
        <v>420</v>
      </c>
      <c r="R77">
        <v>2</v>
      </c>
    </row>
    <row r="78" spans="1:18" x14ac:dyDescent="0.35">
      <c r="A78" t="s">
        <v>593</v>
      </c>
      <c r="B78" s="1">
        <v>2023</v>
      </c>
      <c r="C78">
        <v>231542</v>
      </c>
      <c r="D78">
        <v>13730</v>
      </c>
      <c r="E78">
        <v>6731</v>
      </c>
      <c r="F78">
        <v>0</v>
      </c>
      <c r="G78">
        <v>52151</v>
      </c>
      <c r="H78">
        <v>0</v>
      </c>
      <c r="I78">
        <v>403350</v>
      </c>
      <c r="J78" t="s">
        <v>420</v>
      </c>
      <c r="K78" t="s">
        <v>420</v>
      </c>
      <c r="L78" t="s">
        <v>420</v>
      </c>
      <c r="M78" t="s">
        <v>420</v>
      </c>
      <c r="N78" t="s">
        <v>420</v>
      </c>
      <c r="O78" t="s">
        <v>420</v>
      </c>
      <c r="P78" t="s">
        <v>420</v>
      </c>
      <c r="Q78" t="s">
        <v>420</v>
      </c>
      <c r="R78">
        <v>1</v>
      </c>
    </row>
    <row r="79" spans="1:18" x14ac:dyDescent="0.35">
      <c r="A79" t="s">
        <v>587</v>
      </c>
      <c r="B79" s="1">
        <v>2023</v>
      </c>
      <c r="C79">
        <v>258444</v>
      </c>
      <c r="D79">
        <v>14266</v>
      </c>
      <c r="E79">
        <v>0</v>
      </c>
      <c r="F79">
        <v>0</v>
      </c>
      <c r="G79">
        <v>0</v>
      </c>
      <c r="H79">
        <v>0</v>
      </c>
      <c r="I79">
        <v>371251</v>
      </c>
      <c r="J79" t="s">
        <v>420</v>
      </c>
      <c r="K79" t="s">
        <v>420</v>
      </c>
      <c r="L79" t="s">
        <v>420</v>
      </c>
      <c r="M79" t="s">
        <v>420</v>
      </c>
      <c r="N79" t="s">
        <v>420</v>
      </c>
      <c r="O79" t="s">
        <v>420</v>
      </c>
      <c r="P79" t="s">
        <v>420</v>
      </c>
      <c r="Q79" t="s">
        <v>420</v>
      </c>
      <c r="R79">
        <v>1</v>
      </c>
    </row>
    <row r="80" spans="1:18" x14ac:dyDescent="0.35">
      <c r="A80" t="s">
        <v>605</v>
      </c>
      <c r="B80" s="1">
        <v>2023</v>
      </c>
      <c r="C80">
        <v>167126</v>
      </c>
      <c r="D80">
        <v>1995</v>
      </c>
      <c r="E80">
        <v>1245</v>
      </c>
      <c r="F80">
        <v>0</v>
      </c>
      <c r="G80">
        <v>25293</v>
      </c>
      <c r="H80">
        <v>0</v>
      </c>
      <c r="I80">
        <v>450133</v>
      </c>
      <c r="J80" t="s">
        <v>420</v>
      </c>
      <c r="K80" t="s">
        <v>420</v>
      </c>
      <c r="L80" t="s">
        <v>420</v>
      </c>
      <c r="M80" t="s">
        <v>420</v>
      </c>
      <c r="N80" t="s">
        <v>420</v>
      </c>
      <c r="O80" t="s">
        <v>420</v>
      </c>
      <c r="P80" t="s">
        <v>420</v>
      </c>
      <c r="Q80" t="s">
        <v>420</v>
      </c>
      <c r="R80">
        <v>1</v>
      </c>
    </row>
    <row r="81" spans="1:18" x14ac:dyDescent="0.35">
      <c r="A81" t="s">
        <v>552</v>
      </c>
      <c r="B81" s="1">
        <v>2023</v>
      </c>
      <c r="C81" t="s">
        <v>420</v>
      </c>
      <c r="D81" t="s">
        <v>420</v>
      </c>
      <c r="E81" t="s">
        <v>420</v>
      </c>
      <c r="F81" t="s">
        <v>420</v>
      </c>
      <c r="G81" t="s">
        <v>420</v>
      </c>
      <c r="H81" t="s">
        <v>420</v>
      </c>
      <c r="I81" t="s">
        <v>420</v>
      </c>
      <c r="J81" t="s">
        <v>420</v>
      </c>
      <c r="K81" t="s">
        <v>420</v>
      </c>
      <c r="L81" t="s">
        <v>420</v>
      </c>
      <c r="M81" t="s">
        <v>420</v>
      </c>
      <c r="N81" t="s">
        <v>420</v>
      </c>
      <c r="O81" t="s">
        <v>420</v>
      </c>
      <c r="P81" t="s">
        <v>420</v>
      </c>
      <c r="Q81" t="s">
        <v>420</v>
      </c>
      <c r="R81">
        <v>1</v>
      </c>
    </row>
    <row r="82" spans="1:18" x14ac:dyDescent="0.35">
      <c r="A82" t="s">
        <v>444</v>
      </c>
      <c r="B82" s="1">
        <v>2023</v>
      </c>
      <c r="C82">
        <v>307504</v>
      </c>
      <c r="D82">
        <v>15203</v>
      </c>
      <c r="E82">
        <v>2911</v>
      </c>
      <c r="F82">
        <v>0</v>
      </c>
      <c r="G82">
        <v>31942</v>
      </c>
      <c r="H82">
        <v>0</v>
      </c>
      <c r="I82">
        <v>465304</v>
      </c>
      <c r="J82" t="s">
        <v>420</v>
      </c>
      <c r="K82" t="s">
        <v>420</v>
      </c>
      <c r="L82" t="s">
        <v>420</v>
      </c>
      <c r="M82" t="s">
        <v>420</v>
      </c>
      <c r="N82" t="s">
        <v>420</v>
      </c>
      <c r="O82" t="s">
        <v>420</v>
      </c>
      <c r="P82" t="s">
        <v>420</v>
      </c>
      <c r="Q82" t="s">
        <v>420</v>
      </c>
      <c r="R82">
        <v>2</v>
      </c>
    </row>
    <row r="83" spans="1:18" x14ac:dyDescent="0.35">
      <c r="A83" t="s">
        <v>569</v>
      </c>
      <c r="B83" s="1">
        <v>2023</v>
      </c>
      <c r="C83">
        <v>1248489</v>
      </c>
      <c r="D83">
        <v>0</v>
      </c>
      <c r="E83">
        <v>0</v>
      </c>
      <c r="F83">
        <v>0</v>
      </c>
      <c r="G83">
        <v>0</v>
      </c>
      <c r="H83">
        <v>0</v>
      </c>
      <c r="I83">
        <v>3022327</v>
      </c>
      <c r="J83" t="s">
        <v>420</v>
      </c>
      <c r="K83">
        <v>0</v>
      </c>
      <c r="L83">
        <v>0</v>
      </c>
      <c r="M83">
        <v>0</v>
      </c>
      <c r="N83">
        <v>0</v>
      </c>
      <c r="O83">
        <v>3404483</v>
      </c>
      <c r="P83">
        <v>0</v>
      </c>
      <c r="Q83">
        <v>0</v>
      </c>
      <c r="R83">
        <v>1</v>
      </c>
    </row>
    <row r="84" spans="1:18" x14ac:dyDescent="0.35">
      <c r="A84" t="s">
        <v>450</v>
      </c>
      <c r="B84" s="1">
        <v>2023</v>
      </c>
      <c r="C84">
        <v>958722</v>
      </c>
      <c r="D84">
        <v>60317</v>
      </c>
      <c r="E84">
        <v>0</v>
      </c>
      <c r="F84">
        <v>0</v>
      </c>
      <c r="G84">
        <v>0</v>
      </c>
      <c r="H84">
        <v>0</v>
      </c>
      <c r="I84">
        <v>1943360</v>
      </c>
      <c r="J84">
        <v>57192</v>
      </c>
      <c r="K84">
        <v>3125</v>
      </c>
      <c r="L84">
        <v>0</v>
      </c>
      <c r="M84">
        <v>0</v>
      </c>
      <c r="N84">
        <v>0</v>
      </c>
      <c r="O84">
        <v>1628883</v>
      </c>
      <c r="P84" t="s">
        <v>420</v>
      </c>
      <c r="Q84" t="s">
        <v>420</v>
      </c>
      <c r="R84">
        <v>2</v>
      </c>
    </row>
    <row r="85" spans="1:18" x14ac:dyDescent="0.35">
      <c r="A85" t="s">
        <v>590</v>
      </c>
      <c r="B85" s="1">
        <v>2023</v>
      </c>
      <c r="C85">
        <v>187174</v>
      </c>
      <c r="D85">
        <v>0</v>
      </c>
      <c r="E85">
        <v>1560</v>
      </c>
      <c r="F85">
        <v>0</v>
      </c>
      <c r="G85">
        <v>21000</v>
      </c>
      <c r="H85">
        <v>0</v>
      </c>
      <c r="I85">
        <v>337599</v>
      </c>
      <c r="J85" t="s">
        <v>420</v>
      </c>
      <c r="K85" t="s">
        <v>420</v>
      </c>
      <c r="L85" t="s">
        <v>420</v>
      </c>
      <c r="M85" t="s">
        <v>420</v>
      </c>
      <c r="N85" t="s">
        <v>420</v>
      </c>
      <c r="O85" t="s">
        <v>420</v>
      </c>
      <c r="P85" t="s">
        <v>420</v>
      </c>
      <c r="Q85" t="s">
        <v>420</v>
      </c>
      <c r="R85">
        <v>1</v>
      </c>
    </row>
    <row r="86" spans="1:18" x14ac:dyDescent="0.35">
      <c r="A86" t="s">
        <v>618</v>
      </c>
      <c r="B86" s="1">
        <v>2023</v>
      </c>
      <c r="C86">
        <v>122162</v>
      </c>
      <c r="D86">
        <v>4352</v>
      </c>
      <c r="E86">
        <v>0</v>
      </c>
      <c r="F86">
        <v>0</v>
      </c>
      <c r="G86">
        <v>0</v>
      </c>
      <c r="H86">
        <v>0</v>
      </c>
      <c r="I86">
        <v>258520</v>
      </c>
      <c r="J86" t="s">
        <v>420</v>
      </c>
      <c r="K86" t="s">
        <v>420</v>
      </c>
      <c r="L86" t="s">
        <v>420</v>
      </c>
      <c r="M86" t="s">
        <v>420</v>
      </c>
      <c r="N86" t="s">
        <v>420</v>
      </c>
      <c r="O86" t="s">
        <v>420</v>
      </c>
      <c r="P86" t="s">
        <v>420</v>
      </c>
      <c r="Q86" t="s">
        <v>420</v>
      </c>
      <c r="R86">
        <v>1</v>
      </c>
    </row>
    <row r="87" spans="1:18" x14ac:dyDescent="0.35">
      <c r="A87" t="s">
        <v>546</v>
      </c>
      <c r="B87" s="1">
        <v>2023</v>
      </c>
      <c r="C87">
        <v>172176</v>
      </c>
      <c r="D87">
        <v>10941</v>
      </c>
      <c r="E87">
        <v>0</v>
      </c>
      <c r="F87">
        <v>0</v>
      </c>
      <c r="G87">
        <v>0</v>
      </c>
      <c r="H87">
        <v>0</v>
      </c>
      <c r="I87">
        <v>312420</v>
      </c>
      <c r="J87" t="s">
        <v>420</v>
      </c>
      <c r="K87" t="s">
        <v>420</v>
      </c>
      <c r="L87" t="s">
        <v>420</v>
      </c>
      <c r="M87" t="s">
        <v>420</v>
      </c>
      <c r="N87" t="s">
        <v>420</v>
      </c>
      <c r="O87" t="s">
        <v>420</v>
      </c>
      <c r="P87" t="s">
        <v>420</v>
      </c>
      <c r="Q87" t="s">
        <v>420</v>
      </c>
      <c r="R87">
        <v>1</v>
      </c>
    </row>
    <row r="88" spans="1:18" x14ac:dyDescent="0.35">
      <c r="A88" t="s">
        <v>643</v>
      </c>
      <c r="B88" s="1">
        <v>2023</v>
      </c>
      <c r="C88">
        <v>2175368</v>
      </c>
      <c r="D88">
        <v>28501</v>
      </c>
      <c r="E88">
        <v>0</v>
      </c>
      <c r="F88">
        <v>0</v>
      </c>
      <c r="G88">
        <v>0</v>
      </c>
      <c r="H88">
        <v>0</v>
      </c>
      <c r="I88">
        <v>2978405</v>
      </c>
      <c r="J88">
        <v>0</v>
      </c>
      <c r="K88">
        <v>28501</v>
      </c>
      <c r="L88">
        <v>0</v>
      </c>
      <c r="M88">
        <v>0</v>
      </c>
      <c r="N88">
        <v>0</v>
      </c>
      <c r="O88">
        <v>3286297</v>
      </c>
      <c r="P88" t="s">
        <v>420</v>
      </c>
      <c r="Q88" t="s">
        <v>420</v>
      </c>
      <c r="R88">
        <v>1</v>
      </c>
    </row>
    <row r="89" spans="1:18" x14ac:dyDescent="0.35">
      <c r="A89" t="s">
        <v>425</v>
      </c>
      <c r="B89" s="1">
        <v>2023</v>
      </c>
      <c r="C89">
        <v>73327</v>
      </c>
      <c r="D89">
        <v>0</v>
      </c>
      <c r="E89">
        <v>0</v>
      </c>
      <c r="F89">
        <v>0</v>
      </c>
      <c r="G89">
        <v>0</v>
      </c>
      <c r="H89">
        <v>0</v>
      </c>
      <c r="I89">
        <v>1173168</v>
      </c>
      <c r="J89" t="s">
        <v>420</v>
      </c>
      <c r="K89" t="s">
        <v>420</v>
      </c>
      <c r="L89" t="s">
        <v>420</v>
      </c>
      <c r="M89" t="s">
        <v>420</v>
      </c>
      <c r="N89" t="s">
        <v>420</v>
      </c>
      <c r="O89">
        <v>115125</v>
      </c>
      <c r="P89" t="s">
        <v>420</v>
      </c>
      <c r="Q89" t="s">
        <v>420</v>
      </c>
      <c r="R89">
        <v>2</v>
      </c>
    </row>
    <row r="90" spans="1:18" x14ac:dyDescent="0.35">
      <c r="A90" t="s">
        <v>422</v>
      </c>
      <c r="B90" s="1">
        <v>2023</v>
      </c>
      <c r="C90">
        <v>649393</v>
      </c>
      <c r="D90">
        <v>0</v>
      </c>
      <c r="E90">
        <v>0</v>
      </c>
      <c r="F90">
        <v>0</v>
      </c>
      <c r="G90">
        <v>0</v>
      </c>
      <c r="H90">
        <v>0</v>
      </c>
      <c r="I90">
        <v>1772635</v>
      </c>
      <c r="J90" t="s">
        <v>420</v>
      </c>
      <c r="K90" t="s">
        <v>420</v>
      </c>
      <c r="L90" t="s">
        <v>420</v>
      </c>
      <c r="M90" t="s">
        <v>420</v>
      </c>
      <c r="N90" t="s">
        <v>420</v>
      </c>
      <c r="O90">
        <v>649251</v>
      </c>
      <c r="P90" t="s">
        <v>420</v>
      </c>
      <c r="Q90" t="s">
        <v>420</v>
      </c>
      <c r="R90">
        <v>2</v>
      </c>
    </row>
    <row r="91" spans="1:18" x14ac:dyDescent="0.35">
      <c r="A91" t="s">
        <v>434</v>
      </c>
      <c r="B91" s="1">
        <v>2023</v>
      </c>
      <c r="C91">
        <v>66352</v>
      </c>
      <c r="D91">
        <v>0</v>
      </c>
      <c r="E91">
        <v>0</v>
      </c>
      <c r="F91">
        <v>0</v>
      </c>
      <c r="G91">
        <v>0</v>
      </c>
      <c r="H91">
        <v>0</v>
      </c>
      <c r="I91">
        <v>609959</v>
      </c>
      <c r="J91" t="s">
        <v>420</v>
      </c>
      <c r="K91" t="s">
        <v>420</v>
      </c>
      <c r="L91" t="s">
        <v>420</v>
      </c>
      <c r="M91" t="s">
        <v>420</v>
      </c>
      <c r="N91" t="s">
        <v>420</v>
      </c>
      <c r="O91">
        <v>0</v>
      </c>
      <c r="P91" t="s">
        <v>420</v>
      </c>
      <c r="Q91" t="s">
        <v>420</v>
      </c>
      <c r="R91">
        <v>2</v>
      </c>
    </row>
    <row r="92" spans="1:18" x14ac:dyDescent="0.35">
      <c r="A92" t="s">
        <v>431</v>
      </c>
      <c r="B92" s="1">
        <v>2023</v>
      </c>
      <c r="C92">
        <v>163562</v>
      </c>
      <c r="D92">
        <v>0</v>
      </c>
      <c r="E92">
        <v>0</v>
      </c>
      <c r="F92">
        <v>0</v>
      </c>
      <c r="G92">
        <v>0</v>
      </c>
      <c r="H92">
        <v>0</v>
      </c>
      <c r="I92">
        <v>1439974</v>
      </c>
      <c r="J92" t="s">
        <v>420</v>
      </c>
      <c r="K92" t="s">
        <v>420</v>
      </c>
      <c r="L92" t="s">
        <v>420</v>
      </c>
      <c r="M92" t="s">
        <v>420</v>
      </c>
      <c r="N92" t="s">
        <v>420</v>
      </c>
      <c r="O92">
        <v>0</v>
      </c>
      <c r="P92" t="s">
        <v>420</v>
      </c>
      <c r="Q92" t="s">
        <v>420</v>
      </c>
      <c r="R92">
        <v>2</v>
      </c>
    </row>
    <row r="93" spans="1:18" x14ac:dyDescent="0.35">
      <c r="A93" t="s">
        <v>428</v>
      </c>
      <c r="B93" s="1">
        <v>2023</v>
      </c>
      <c r="C93">
        <v>160012</v>
      </c>
      <c r="D93">
        <v>0</v>
      </c>
      <c r="E93">
        <v>0</v>
      </c>
      <c r="F93">
        <v>0</v>
      </c>
      <c r="G93">
        <v>0</v>
      </c>
      <c r="H93">
        <v>0</v>
      </c>
      <c r="I93">
        <v>2959174</v>
      </c>
      <c r="J93" t="s">
        <v>420</v>
      </c>
      <c r="K93" t="s">
        <v>420</v>
      </c>
      <c r="L93" t="s">
        <v>420</v>
      </c>
      <c r="M93" t="s">
        <v>420</v>
      </c>
      <c r="N93" t="s">
        <v>420</v>
      </c>
      <c r="O93">
        <v>0</v>
      </c>
      <c r="P93" t="s">
        <v>420</v>
      </c>
      <c r="Q93" t="s">
        <v>420</v>
      </c>
      <c r="R93">
        <v>2</v>
      </c>
    </row>
    <row r="94" spans="1:18" x14ac:dyDescent="0.35">
      <c r="A94" t="s">
        <v>419</v>
      </c>
      <c r="B94" s="1">
        <v>2023</v>
      </c>
      <c r="C94">
        <v>15803006</v>
      </c>
      <c r="D94">
        <v>29213</v>
      </c>
      <c r="E94">
        <v>182335</v>
      </c>
      <c r="F94">
        <v>0</v>
      </c>
      <c r="G94">
        <v>490695</v>
      </c>
      <c r="H94">
        <v>0</v>
      </c>
      <c r="I94">
        <v>51013887</v>
      </c>
      <c r="J94">
        <v>29213</v>
      </c>
      <c r="K94">
        <v>0</v>
      </c>
      <c r="L94">
        <v>0</v>
      </c>
      <c r="M94">
        <v>0</v>
      </c>
      <c r="N94">
        <v>0</v>
      </c>
      <c r="O94">
        <v>53256201</v>
      </c>
      <c r="P94" t="s">
        <v>420</v>
      </c>
      <c r="Q94" t="s">
        <v>420</v>
      </c>
      <c r="R94">
        <v>2</v>
      </c>
    </row>
    <row r="95" spans="1:18" x14ac:dyDescent="0.35">
      <c r="A95" t="s">
        <v>424</v>
      </c>
      <c r="B95" s="1">
        <v>2023</v>
      </c>
      <c r="C95">
        <v>218022</v>
      </c>
      <c r="D95">
        <v>0</v>
      </c>
      <c r="E95">
        <v>0</v>
      </c>
      <c r="F95">
        <v>0</v>
      </c>
      <c r="G95">
        <v>0</v>
      </c>
      <c r="H95">
        <v>0</v>
      </c>
      <c r="I95">
        <v>1769047</v>
      </c>
      <c r="J95" t="s">
        <v>420</v>
      </c>
      <c r="K95" t="s">
        <v>420</v>
      </c>
      <c r="L95" t="s">
        <v>420</v>
      </c>
      <c r="M95" t="s">
        <v>420</v>
      </c>
      <c r="N95" t="s">
        <v>420</v>
      </c>
      <c r="O95">
        <v>414315</v>
      </c>
      <c r="P95" t="s">
        <v>420</v>
      </c>
      <c r="Q95" t="s">
        <v>420</v>
      </c>
      <c r="R95">
        <v>2</v>
      </c>
    </row>
    <row r="96" spans="1:18" x14ac:dyDescent="0.35">
      <c r="A96" t="s">
        <v>423</v>
      </c>
      <c r="B96" s="1">
        <v>2023</v>
      </c>
      <c r="C96">
        <v>1072</v>
      </c>
      <c r="D96">
        <v>0</v>
      </c>
      <c r="E96">
        <v>0</v>
      </c>
      <c r="F96">
        <v>0</v>
      </c>
      <c r="G96">
        <v>0</v>
      </c>
      <c r="H96">
        <v>0</v>
      </c>
      <c r="I96">
        <v>457118</v>
      </c>
      <c r="J96">
        <v>0</v>
      </c>
      <c r="K96" t="s">
        <v>420</v>
      </c>
      <c r="L96" t="s">
        <v>420</v>
      </c>
      <c r="M96" t="s">
        <v>420</v>
      </c>
      <c r="N96" t="s">
        <v>420</v>
      </c>
      <c r="O96" t="s">
        <v>420</v>
      </c>
      <c r="P96" t="s">
        <v>420</v>
      </c>
      <c r="Q96" t="s">
        <v>420</v>
      </c>
      <c r="R96">
        <v>2</v>
      </c>
    </row>
    <row r="97" spans="1:18" x14ac:dyDescent="0.35">
      <c r="A97" t="s">
        <v>442</v>
      </c>
      <c r="B97" s="1">
        <v>2023</v>
      </c>
      <c r="C97">
        <v>123448</v>
      </c>
      <c r="D97">
        <v>0</v>
      </c>
      <c r="E97">
        <v>0</v>
      </c>
      <c r="F97">
        <v>0</v>
      </c>
      <c r="G97">
        <v>0</v>
      </c>
      <c r="H97">
        <v>0</v>
      </c>
      <c r="I97">
        <v>202031</v>
      </c>
      <c r="J97" t="s">
        <v>420</v>
      </c>
      <c r="K97" t="s">
        <v>420</v>
      </c>
      <c r="L97" t="s">
        <v>420</v>
      </c>
      <c r="M97" t="s">
        <v>420</v>
      </c>
      <c r="N97" t="s">
        <v>420</v>
      </c>
      <c r="O97" t="s">
        <v>420</v>
      </c>
      <c r="P97" t="s">
        <v>420</v>
      </c>
      <c r="Q97" t="s">
        <v>420</v>
      </c>
      <c r="R97">
        <v>2</v>
      </c>
    </row>
    <row r="98" spans="1:18" x14ac:dyDescent="0.35">
      <c r="A98" t="s">
        <v>598</v>
      </c>
      <c r="B98" s="1">
        <v>2023</v>
      </c>
      <c r="C98" t="s">
        <v>420</v>
      </c>
      <c r="D98" t="s">
        <v>420</v>
      </c>
      <c r="E98" t="s">
        <v>420</v>
      </c>
      <c r="F98" t="s">
        <v>420</v>
      </c>
      <c r="G98" t="s">
        <v>420</v>
      </c>
      <c r="H98" t="s">
        <v>420</v>
      </c>
      <c r="I98" t="s">
        <v>420</v>
      </c>
      <c r="J98" t="s">
        <v>420</v>
      </c>
      <c r="K98" t="s">
        <v>420</v>
      </c>
      <c r="L98" t="s">
        <v>420</v>
      </c>
      <c r="M98" t="s">
        <v>420</v>
      </c>
      <c r="N98" t="s">
        <v>420</v>
      </c>
      <c r="O98" t="s">
        <v>420</v>
      </c>
      <c r="P98" t="s">
        <v>420</v>
      </c>
      <c r="Q98" t="s">
        <v>420</v>
      </c>
      <c r="R98">
        <v>1</v>
      </c>
    </row>
    <row r="99" spans="1:18" x14ac:dyDescent="0.35">
      <c r="A99" t="s">
        <v>604</v>
      </c>
      <c r="B99" s="1">
        <v>2023</v>
      </c>
      <c r="C99">
        <v>2492931</v>
      </c>
      <c r="D99">
        <v>0</v>
      </c>
      <c r="E99">
        <v>0</v>
      </c>
      <c r="F99">
        <v>0</v>
      </c>
      <c r="G99">
        <v>0</v>
      </c>
      <c r="H99">
        <v>0</v>
      </c>
      <c r="I99">
        <v>4356308</v>
      </c>
      <c r="J99">
        <v>0</v>
      </c>
      <c r="K99">
        <v>0</v>
      </c>
      <c r="L99">
        <v>0</v>
      </c>
      <c r="M99">
        <v>0</v>
      </c>
      <c r="N99">
        <v>0</v>
      </c>
      <c r="O99">
        <v>4518291</v>
      </c>
      <c r="P99">
        <v>0</v>
      </c>
      <c r="Q99">
        <v>0</v>
      </c>
      <c r="R99">
        <v>1</v>
      </c>
    </row>
    <row r="100" spans="1:18" x14ac:dyDescent="0.35">
      <c r="A100" t="s">
        <v>426</v>
      </c>
      <c r="B100" s="1">
        <v>2023</v>
      </c>
      <c r="C100" t="s">
        <v>420</v>
      </c>
      <c r="D100" t="s">
        <v>420</v>
      </c>
      <c r="E100" t="s">
        <v>420</v>
      </c>
      <c r="F100" t="s">
        <v>420</v>
      </c>
      <c r="G100" t="s">
        <v>420</v>
      </c>
      <c r="H100" t="s">
        <v>420</v>
      </c>
      <c r="I100">
        <v>2297256</v>
      </c>
      <c r="J100" t="s">
        <v>420</v>
      </c>
      <c r="K100" t="s">
        <v>420</v>
      </c>
      <c r="L100" t="s">
        <v>420</v>
      </c>
      <c r="M100" t="s">
        <v>420</v>
      </c>
      <c r="N100" t="s">
        <v>420</v>
      </c>
      <c r="O100" t="s">
        <v>420</v>
      </c>
      <c r="P100" t="s">
        <v>420</v>
      </c>
      <c r="Q100" t="s">
        <v>420</v>
      </c>
      <c r="R100">
        <v>2</v>
      </c>
    </row>
    <row r="101" spans="1:18" x14ac:dyDescent="0.35">
      <c r="A101" t="s">
        <v>581</v>
      </c>
      <c r="B101" s="1">
        <v>2023</v>
      </c>
      <c r="C101">
        <v>211444</v>
      </c>
      <c r="D101">
        <v>7200</v>
      </c>
      <c r="E101">
        <v>0</v>
      </c>
      <c r="F101">
        <v>0</v>
      </c>
      <c r="G101">
        <v>0</v>
      </c>
      <c r="H101">
        <v>0</v>
      </c>
      <c r="I101">
        <v>400085</v>
      </c>
      <c r="J101" t="s">
        <v>420</v>
      </c>
      <c r="K101" t="s">
        <v>420</v>
      </c>
      <c r="L101" t="s">
        <v>420</v>
      </c>
      <c r="M101" t="s">
        <v>420</v>
      </c>
      <c r="N101" t="s">
        <v>420</v>
      </c>
      <c r="O101" t="s">
        <v>420</v>
      </c>
      <c r="P101" t="s">
        <v>420</v>
      </c>
      <c r="Q101" t="s">
        <v>420</v>
      </c>
      <c r="R101">
        <v>1</v>
      </c>
    </row>
    <row r="102" spans="1:18" x14ac:dyDescent="0.35">
      <c r="A102" t="s">
        <v>644</v>
      </c>
      <c r="B102" s="1">
        <v>2023</v>
      </c>
      <c r="C102">
        <v>181165</v>
      </c>
      <c r="D102">
        <v>0</v>
      </c>
      <c r="E102">
        <v>0</v>
      </c>
      <c r="F102">
        <v>0</v>
      </c>
      <c r="G102">
        <v>0</v>
      </c>
      <c r="H102">
        <v>0</v>
      </c>
      <c r="I102">
        <v>254827</v>
      </c>
      <c r="J102" t="s">
        <v>420</v>
      </c>
      <c r="K102" t="s">
        <v>420</v>
      </c>
      <c r="L102" t="s">
        <v>420</v>
      </c>
      <c r="M102" t="s">
        <v>420</v>
      </c>
      <c r="N102" t="s">
        <v>420</v>
      </c>
      <c r="O102" t="s">
        <v>420</v>
      </c>
      <c r="P102" t="s">
        <v>420</v>
      </c>
      <c r="Q102" t="s">
        <v>420</v>
      </c>
      <c r="R102">
        <v>1</v>
      </c>
    </row>
    <row r="103" spans="1:18" x14ac:dyDescent="0.35">
      <c r="A103" t="s">
        <v>473</v>
      </c>
      <c r="B103" s="1">
        <v>2023</v>
      </c>
      <c r="C103">
        <v>90013</v>
      </c>
      <c r="D103">
        <v>0</v>
      </c>
      <c r="E103">
        <v>0</v>
      </c>
      <c r="F103">
        <v>0</v>
      </c>
      <c r="G103">
        <v>0</v>
      </c>
      <c r="H103">
        <v>0</v>
      </c>
      <c r="I103">
        <v>226413</v>
      </c>
      <c r="J103" t="s">
        <v>420</v>
      </c>
      <c r="K103" t="s">
        <v>420</v>
      </c>
      <c r="L103" t="s">
        <v>420</v>
      </c>
      <c r="M103" t="s">
        <v>420</v>
      </c>
      <c r="N103" t="s">
        <v>420</v>
      </c>
      <c r="O103" t="s">
        <v>420</v>
      </c>
      <c r="P103" t="s">
        <v>420</v>
      </c>
      <c r="Q103" t="s">
        <v>420</v>
      </c>
      <c r="R103">
        <v>2</v>
      </c>
    </row>
    <row r="104" spans="1:18" x14ac:dyDescent="0.35">
      <c r="A104" t="s">
        <v>515</v>
      </c>
      <c r="B104" s="1">
        <v>2023</v>
      </c>
      <c r="C104">
        <v>146372</v>
      </c>
      <c r="D104">
        <v>15000</v>
      </c>
      <c r="E104">
        <v>0</v>
      </c>
      <c r="F104">
        <v>0</v>
      </c>
      <c r="G104">
        <v>13500</v>
      </c>
      <c r="H104">
        <v>0</v>
      </c>
      <c r="I104">
        <v>304459</v>
      </c>
      <c r="J104" t="s">
        <v>420</v>
      </c>
      <c r="K104" t="s">
        <v>420</v>
      </c>
      <c r="L104" t="s">
        <v>420</v>
      </c>
      <c r="M104" t="s">
        <v>420</v>
      </c>
      <c r="N104" t="s">
        <v>420</v>
      </c>
      <c r="O104" t="s">
        <v>420</v>
      </c>
      <c r="P104" t="s">
        <v>420</v>
      </c>
      <c r="Q104" t="s">
        <v>420</v>
      </c>
      <c r="R104">
        <v>1</v>
      </c>
    </row>
    <row r="105" spans="1:18" x14ac:dyDescent="0.35">
      <c r="A105" t="s">
        <v>601</v>
      </c>
      <c r="B105" s="1">
        <v>2023</v>
      </c>
      <c r="C105" t="s">
        <v>420</v>
      </c>
      <c r="D105" t="s">
        <v>420</v>
      </c>
      <c r="E105" t="s">
        <v>420</v>
      </c>
      <c r="F105" t="s">
        <v>420</v>
      </c>
      <c r="G105" t="s">
        <v>420</v>
      </c>
      <c r="H105" t="s">
        <v>420</v>
      </c>
      <c r="I105" t="s">
        <v>420</v>
      </c>
      <c r="J105" t="s">
        <v>420</v>
      </c>
      <c r="K105" t="s">
        <v>420</v>
      </c>
      <c r="L105" t="s">
        <v>420</v>
      </c>
      <c r="M105" t="s">
        <v>420</v>
      </c>
      <c r="N105" t="s">
        <v>420</v>
      </c>
      <c r="O105" t="s">
        <v>420</v>
      </c>
      <c r="P105" t="s">
        <v>420</v>
      </c>
      <c r="Q105" t="s">
        <v>420</v>
      </c>
      <c r="R105">
        <v>1</v>
      </c>
    </row>
    <row r="106" spans="1:18" x14ac:dyDescent="0.35">
      <c r="A106" t="s">
        <v>613</v>
      </c>
      <c r="B106" s="1">
        <v>2023</v>
      </c>
      <c r="C106" t="s">
        <v>420</v>
      </c>
      <c r="D106" t="s">
        <v>420</v>
      </c>
      <c r="E106" t="s">
        <v>420</v>
      </c>
      <c r="F106" t="s">
        <v>420</v>
      </c>
      <c r="G106" t="s">
        <v>420</v>
      </c>
      <c r="H106" t="s">
        <v>420</v>
      </c>
      <c r="I106" t="s">
        <v>420</v>
      </c>
      <c r="J106" t="s">
        <v>420</v>
      </c>
      <c r="K106" t="s">
        <v>420</v>
      </c>
      <c r="L106" t="s">
        <v>420</v>
      </c>
      <c r="M106" t="s">
        <v>420</v>
      </c>
      <c r="N106" t="s">
        <v>420</v>
      </c>
      <c r="O106" t="s">
        <v>420</v>
      </c>
      <c r="P106" t="s">
        <v>420</v>
      </c>
      <c r="Q106" t="s">
        <v>420</v>
      </c>
      <c r="R106">
        <v>1</v>
      </c>
    </row>
    <row r="107" spans="1:18" x14ac:dyDescent="0.35">
      <c r="A107" t="s">
        <v>498</v>
      </c>
      <c r="B107" s="1">
        <v>2023</v>
      </c>
      <c r="C107">
        <v>87523</v>
      </c>
      <c r="D107">
        <v>0</v>
      </c>
      <c r="E107">
        <v>0</v>
      </c>
      <c r="F107">
        <v>0</v>
      </c>
      <c r="G107">
        <v>10360</v>
      </c>
      <c r="H107">
        <v>0</v>
      </c>
      <c r="I107">
        <v>347011</v>
      </c>
      <c r="J107" t="s">
        <v>420</v>
      </c>
      <c r="K107" t="s">
        <v>420</v>
      </c>
      <c r="L107" t="s">
        <v>420</v>
      </c>
      <c r="M107" t="s">
        <v>420</v>
      </c>
      <c r="N107" t="s">
        <v>420</v>
      </c>
      <c r="O107" t="s">
        <v>420</v>
      </c>
      <c r="P107" t="s">
        <v>420</v>
      </c>
      <c r="Q107" t="s">
        <v>420</v>
      </c>
      <c r="R107">
        <v>2</v>
      </c>
    </row>
    <row r="108" spans="1:18" x14ac:dyDescent="0.35">
      <c r="A108" t="s">
        <v>572</v>
      </c>
      <c r="B108" s="1">
        <v>2023</v>
      </c>
      <c r="C108">
        <v>303140</v>
      </c>
      <c r="D108">
        <v>19959</v>
      </c>
      <c r="E108" t="s">
        <v>420</v>
      </c>
      <c r="F108" t="s">
        <v>420</v>
      </c>
      <c r="G108" t="s">
        <v>420</v>
      </c>
      <c r="H108" t="s">
        <v>420</v>
      </c>
      <c r="I108">
        <v>815196</v>
      </c>
      <c r="J108">
        <v>19959</v>
      </c>
      <c r="K108" t="s">
        <v>420</v>
      </c>
      <c r="L108" t="s">
        <v>420</v>
      </c>
      <c r="M108" t="s">
        <v>420</v>
      </c>
      <c r="N108" t="s">
        <v>420</v>
      </c>
      <c r="O108" t="s">
        <v>420</v>
      </c>
      <c r="P108" t="s">
        <v>420</v>
      </c>
      <c r="Q108" t="s">
        <v>420</v>
      </c>
      <c r="R108">
        <v>1</v>
      </c>
    </row>
    <row r="109" spans="1:18" x14ac:dyDescent="0.35">
      <c r="A109" t="s">
        <v>427</v>
      </c>
      <c r="B109" s="1">
        <v>2023</v>
      </c>
      <c r="C109">
        <v>371764</v>
      </c>
      <c r="D109">
        <v>0</v>
      </c>
      <c r="E109">
        <v>0</v>
      </c>
      <c r="F109">
        <v>0</v>
      </c>
      <c r="G109">
        <v>0</v>
      </c>
      <c r="H109">
        <v>0</v>
      </c>
      <c r="I109">
        <v>1045571</v>
      </c>
      <c r="J109">
        <v>0</v>
      </c>
      <c r="K109">
        <v>0</v>
      </c>
      <c r="L109">
        <v>0</v>
      </c>
      <c r="M109">
        <v>0</v>
      </c>
      <c r="N109">
        <v>0</v>
      </c>
      <c r="O109">
        <v>613320</v>
      </c>
      <c r="P109">
        <v>0</v>
      </c>
      <c r="Q109">
        <v>0</v>
      </c>
      <c r="R109">
        <v>2</v>
      </c>
    </row>
    <row r="110" spans="1:18" x14ac:dyDescent="0.35">
      <c r="A110" t="s">
        <v>627</v>
      </c>
      <c r="B110" s="1">
        <v>2023</v>
      </c>
      <c r="C110">
        <v>65338</v>
      </c>
      <c r="D110">
        <v>5233</v>
      </c>
      <c r="E110">
        <v>0</v>
      </c>
      <c r="F110">
        <v>0</v>
      </c>
      <c r="G110">
        <v>0</v>
      </c>
      <c r="H110">
        <v>0</v>
      </c>
      <c r="I110">
        <v>97906</v>
      </c>
      <c r="J110" t="s">
        <v>420</v>
      </c>
      <c r="K110" t="s">
        <v>420</v>
      </c>
      <c r="L110" t="s">
        <v>420</v>
      </c>
      <c r="M110" t="s">
        <v>420</v>
      </c>
      <c r="N110" t="s">
        <v>420</v>
      </c>
      <c r="O110" t="s">
        <v>420</v>
      </c>
      <c r="P110" t="s">
        <v>420</v>
      </c>
      <c r="Q110" t="s">
        <v>420</v>
      </c>
      <c r="R110">
        <v>1</v>
      </c>
    </row>
    <row r="111" spans="1:18" x14ac:dyDescent="0.35">
      <c r="A111" t="s">
        <v>563</v>
      </c>
      <c r="B111" s="1">
        <v>2023</v>
      </c>
      <c r="C111" t="s">
        <v>420</v>
      </c>
      <c r="D111" t="s">
        <v>420</v>
      </c>
      <c r="E111" t="s">
        <v>420</v>
      </c>
      <c r="F111" t="s">
        <v>420</v>
      </c>
      <c r="G111" t="s">
        <v>420</v>
      </c>
      <c r="H111" t="s">
        <v>420</v>
      </c>
      <c r="I111" t="s">
        <v>420</v>
      </c>
      <c r="J111" t="s">
        <v>420</v>
      </c>
      <c r="K111" t="s">
        <v>420</v>
      </c>
      <c r="L111" t="s">
        <v>420</v>
      </c>
      <c r="M111" t="s">
        <v>420</v>
      </c>
      <c r="N111" t="s">
        <v>420</v>
      </c>
      <c r="O111" t="s">
        <v>420</v>
      </c>
      <c r="P111" t="s">
        <v>420</v>
      </c>
      <c r="Q111" t="s">
        <v>420</v>
      </c>
      <c r="R111">
        <v>1</v>
      </c>
    </row>
    <row r="112" spans="1:18" x14ac:dyDescent="0.35">
      <c r="A112" t="s">
        <v>467</v>
      </c>
      <c r="B112" s="1">
        <v>2023</v>
      </c>
      <c r="C112">
        <v>123057</v>
      </c>
      <c r="D112">
        <v>9204</v>
      </c>
      <c r="E112">
        <v>0</v>
      </c>
      <c r="F112">
        <v>0</v>
      </c>
      <c r="G112">
        <v>0</v>
      </c>
      <c r="H112">
        <v>0</v>
      </c>
      <c r="I112">
        <v>230017</v>
      </c>
      <c r="J112" t="s">
        <v>420</v>
      </c>
      <c r="K112" t="s">
        <v>420</v>
      </c>
      <c r="L112" t="s">
        <v>420</v>
      </c>
      <c r="M112" t="s">
        <v>420</v>
      </c>
      <c r="N112" t="s">
        <v>420</v>
      </c>
      <c r="O112" t="s">
        <v>420</v>
      </c>
      <c r="P112" t="s">
        <v>420</v>
      </c>
      <c r="Q112" t="s">
        <v>420</v>
      </c>
      <c r="R112">
        <v>2</v>
      </c>
    </row>
    <row r="113" spans="1:18" x14ac:dyDescent="0.35">
      <c r="A113" t="s">
        <v>480</v>
      </c>
      <c r="B113" s="1">
        <v>2023</v>
      </c>
      <c r="C113">
        <v>1833203</v>
      </c>
      <c r="D113">
        <v>0</v>
      </c>
      <c r="E113">
        <v>0</v>
      </c>
      <c r="F113">
        <v>0</v>
      </c>
      <c r="G113">
        <v>0</v>
      </c>
      <c r="H113">
        <v>0</v>
      </c>
      <c r="I113">
        <v>3460373</v>
      </c>
      <c r="J113">
        <v>0</v>
      </c>
      <c r="K113">
        <v>0</v>
      </c>
      <c r="L113">
        <v>0</v>
      </c>
      <c r="M113">
        <v>0</v>
      </c>
      <c r="N113">
        <v>0</v>
      </c>
      <c r="O113">
        <v>1854764</v>
      </c>
      <c r="P113">
        <v>0</v>
      </c>
      <c r="Q113">
        <v>0</v>
      </c>
      <c r="R113">
        <v>2</v>
      </c>
    </row>
    <row r="114" spans="1:18" x14ac:dyDescent="0.35">
      <c r="A114" t="s">
        <v>507</v>
      </c>
      <c r="B114" s="1">
        <v>2023</v>
      </c>
      <c r="C114">
        <v>399603</v>
      </c>
      <c r="D114">
        <v>50000</v>
      </c>
      <c r="E114">
        <v>0</v>
      </c>
      <c r="F114">
        <v>0</v>
      </c>
      <c r="G114">
        <v>0</v>
      </c>
      <c r="H114">
        <v>0</v>
      </c>
      <c r="I114">
        <v>889814</v>
      </c>
      <c r="J114">
        <v>35000</v>
      </c>
      <c r="K114">
        <v>0</v>
      </c>
      <c r="L114">
        <v>15000</v>
      </c>
      <c r="M114">
        <v>0</v>
      </c>
      <c r="N114">
        <v>0</v>
      </c>
      <c r="O114">
        <v>692878</v>
      </c>
      <c r="P114">
        <v>0</v>
      </c>
      <c r="Q114">
        <v>0</v>
      </c>
      <c r="R114">
        <v>1</v>
      </c>
    </row>
    <row r="115" spans="1:18" x14ac:dyDescent="0.35">
      <c r="A115" t="s">
        <v>487</v>
      </c>
      <c r="B115" s="1">
        <v>2023</v>
      </c>
      <c r="C115">
        <v>746295</v>
      </c>
      <c r="D115">
        <v>2029</v>
      </c>
      <c r="E115">
        <v>18318</v>
      </c>
      <c r="F115">
        <v>0</v>
      </c>
      <c r="G115">
        <v>14829</v>
      </c>
      <c r="H115">
        <v>0</v>
      </c>
      <c r="I115">
        <v>1532640</v>
      </c>
      <c r="J115">
        <v>2029</v>
      </c>
      <c r="K115">
        <v>0</v>
      </c>
      <c r="L115">
        <v>0</v>
      </c>
      <c r="M115">
        <v>0</v>
      </c>
      <c r="N115">
        <v>0</v>
      </c>
      <c r="O115">
        <v>1765808</v>
      </c>
      <c r="P115" t="s">
        <v>420</v>
      </c>
      <c r="Q115" t="s">
        <v>420</v>
      </c>
      <c r="R115">
        <v>2</v>
      </c>
    </row>
    <row r="116" spans="1:18" x14ac:dyDescent="0.35">
      <c r="A116" t="s">
        <v>463</v>
      </c>
      <c r="B116" s="1">
        <v>2023</v>
      </c>
      <c r="C116" t="s">
        <v>420</v>
      </c>
      <c r="D116" t="s">
        <v>420</v>
      </c>
      <c r="E116" t="s">
        <v>420</v>
      </c>
      <c r="F116" t="s">
        <v>420</v>
      </c>
      <c r="G116" t="s">
        <v>420</v>
      </c>
      <c r="H116" t="s">
        <v>420</v>
      </c>
      <c r="I116" t="s">
        <v>420</v>
      </c>
      <c r="J116" t="s">
        <v>420</v>
      </c>
      <c r="K116" t="s">
        <v>420</v>
      </c>
      <c r="L116" t="s">
        <v>420</v>
      </c>
      <c r="M116" t="s">
        <v>420</v>
      </c>
      <c r="N116" t="s">
        <v>420</v>
      </c>
      <c r="O116" t="s">
        <v>420</v>
      </c>
      <c r="P116" t="s">
        <v>420</v>
      </c>
      <c r="Q116" t="s">
        <v>420</v>
      </c>
      <c r="R116">
        <v>2</v>
      </c>
    </row>
    <row r="117" spans="1:18" x14ac:dyDescent="0.35">
      <c r="A117" t="s">
        <v>479</v>
      </c>
      <c r="B117" s="1">
        <v>2023</v>
      </c>
      <c r="C117">
        <v>112216</v>
      </c>
      <c r="D117">
        <v>0</v>
      </c>
      <c r="E117">
        <v>0</v>
      </c>
      <c r="F117">
        <v>0</v>
      </c>
      <c r="G117">
        <v>0</v>
      </c>
      <c r="H117">
        <v>0</v>
      </c>
      <c r="I117">
        <v>219909</v>
      </c>
      <c r="J117" t="s">
        <v>420</v>
      </c>
      <c r="K117" t="s">
        <v>420</v>
      </c>
      <c r="L117" t="s">
        <v>420</v>
      </c>
      <c r="M117" t="s">
        <v>420</v>
      </c>
      <c r="N117" t="s">
        <v>420</v>
      </c>
      <c r="O117" t="s">
        <v>420</v>
      </c>
      <c r="P117" t="s">
        <v>420</v>
      </c>
      <c r="Q117" t="s">
        <v>420</v>
      </c>
      <c r="R117">
        <v>2</v>
      </c>
    </row>
    <row r="118" spans="1:18" x14ac:dyDescent="0.35">
      <c r="A118" t="s">
        <v>521</v>
      </c>
      <c r="B118" s="1">
        <v>2023</v>
      </c>
      <c r="C118">
        <v>445542</v>
      </c>
      <c r="D118">
        <v>14037</v>
      </c>
      <c r="E118">
        <v>0</v>
      </c>
      <c r="F118" t="s">
        <v>420</v>
      </c>
      <c r="G118">
        <v>0</v>
      </c>
      <c r="H118" t="s">
        <v>420</v>
      </c>
      <c r="I118">
        <v>737484</v>
      </c>
      <c r="J118">
        <v>14037</v>
      </c>
      <c r="K118" t="s">
        <v>420</v>
      </c>
      <c r="L118" t="s">
        <v>420</v>
      </c>
      <c r="M118" t="s">
        <v>420</v>
      </c>
      <c r="N118" t="s">
        <v>420</v>
      </c>
      <c r="O118">
        <v>862272</v>
      </c>
      <c r="P118" t="s">
        <v>420</v>
      </c>
      <c r="Q118" t="s">
        <v>420</v>
      </c>
      <c r="R118">
        <v>1</v>
      </c>
    </row>
    <row r="119" spans="1:18" x14ac:dyDescent="0.35">
      <c r="A119" t="s">
        <v>511</v>
      </c>
      <c r="B119" s="1">
        <v>2023</v>
      </c>
      <c r="C119">
        <v>102943</v>
      </c>
      <c r="D119">
        <v>0</v>
      </c>
      <c r="E119">
        <v>0</v>
      </c>
      <c r="F119">
        <v>0</v>
      </c>
      <c r="G119">
        <v>0</v>
      </c>
      <c r="H119">
        <v>0</v>
      </c>
      <c r="I119">
        <v>322755</v>
      </c>
      <c r="J119" t="s">
        <v>420</v>
      </c>
      <c r="K119" t="s">
        <v>420</v>
      </c>
      <c r="L119" t="s">
        <v>420</v>
      </c>
      <c r="M119" t="s">
        <v>420</v>
      </c>
      <c r="N119" t="s">
        <v>420</v>
      </c>
      <c r="O119" t="s">
        <v>420</v>
      </c>
      <c r="P119" t="s">
        <v>420</v>
      </c>
      <c r="Q119" t="s">
        <v>420</v>
      </c>
      <c r="R119">
        <v>1</v>
      </c>
    </row>
    <row r="120" spans="1:18" x14ac:dyDescent="0.35">
      <c r="A120" t="s">
        <v>579</v>
      </c>
      <c r="B120" s="1">
        <v>2023</v>
      </c>
      <c r="C120">
        <v>1046502</v>
      </c>
      <c r="D120">
        <v>0</v>
      </c>
      <c r="E120">
        <v>0</v>
      </c>
      <c r="F120">
        <v>0</v>
      </c>
      <c r="G120">
        <v>0</v>
      </c>
      <c r="H120">
        <v>34000</v>
      </c>
      <c r="I120">
        <v>1885428</v>
      </c>
      <c r="J120">
        <v>0</v>
      </c>
      <c r="K120">
        <v>0</v>
      </c>
      <c r="L120">
        <v>0</v>
      </c>
      <c r="M120">
        <v>0</v>
      </c>
      <c r="N120">
        <v>0</v>
      </c>
      <c r="O120">
        <v>2023713</v>
      </c>
      <c r="P120">
        <v>0</v>
      </c>
      <c r="Q120">
        <v>0</v>
      </c>
      <c r="R120">
        <v>1</v>
      </c>
    </row>
    <row r="121" spans="1:18" x14ac:dyDescent="0.35">
      <c r="A121" t="s">
        <v>496</v>
      </c>
      <c r="B121" s="1">
        <v>2023</v>
      </c>
      <c r="C121">
        <v>98669</v>
      </c>
      <c r="D121">
        <v>0</v>
      </c>
      <c r="E121">
        <v>0</v>
      </c>
      <c r="F121">
        <v>0</v>
      </c>
      <c r="G121">
        <v>0</v>
      </c>
      <c r="H121">
        <v>0</v>
      </c>
      <c r="I121">
        <v>208341</v>
      </c>
      <c r="J121" t="s">
        <v>420</v>
      </c>
      <c r="K121" t="s">
        <v>420</v>
      </c>
      <c r="L121" t="s">
        <v>420</v>
      </c>
      <c r="M121" t="s">
        <v>420</v>
      </c>
      <c r="N121" t="s">
        <v>420</v>
      </c>
      <c r="O121" t="s">
        <v>420</v>
      </c>
      <c r="P121" t="s">
        <v>420</v>
      </c>
      <c r="Q121" t="s">
        <v>420</v>
      </c>
      <c r="R121">
        <v>2</v>
      </c>
    </row>
    <row r="122" spans="1:18" x14ac:dyDescent="0.35">
      <c r="A122" t="s">
        <v>452</v>
      </c>
      <c r="B122" s="1">
        <v>2023</v>
      </c>
      <c r="C122" t="s">
        <v>420</v>
      </c>
      <c r="D122" t="s">
        <v>420</v>
      </c>
      <c r="E122" t="s">
        <v>420</v>
      </c>
      <c r="F122" t="s">
        <v>420</v>
      </c>
      <c r="G122" t="s">
        <v>420</v>
      </c>
      <c r="H122" t="s">
        <v>420</v>
      </c>
      <c r="I122" t="s">
        <v>420</v>
      </c>
      <c r="J122" t="s">
        <v>420</v>
      </c>
      <c r="K122" t="s">
        <v>420</v>
      </c>
      <c r="L122" t="s">
        <v>420</v>
      </c>
      <c r="M122" t="s">
        <v>420</v>
      </c>
      <c r="N122" t="s">
        <v>420</v>
      </c>
      <c r="O122" t="s">
        <v>420</v>
      </c>
      <c r="P122" t="s">
        <v>420</v>
      </c>
      <c r="Q122" t="s">
        <v>420</v>
      </c>
      <c r="R122">
        <v>2</v>
      </c>
    </row>
    <row r="123" spans="1:18" x14ac:dyDescent="0.35">
      <c r="A123" t="s">
        <v>622</v>
      </c>
      <c r="B123" s="1">
        <v>2023</v>
      </c>
      <c r="C123">
        <v>135650</v>
      </c>
      <c r="D123">
        <v>100</v>
      </c>
      <c r="E123">
        <v>0</v>
      </c>
      <c r="F123">
        <v>0</v>
      </c>
      <c r="G123">
        <v>0</v>
      </c>
      <c r="H123">
        <v>0</v>
      </c>
      <c r="I123">
        <v>521482</v>
      </c>
      <c r="J123" t="s">
        <v>420</v>
      </c>
      <c r="K123" t="s">
        <v>420</v>
      </c>
      <c r="L123" t="s">
        <v>420</v>
      </c>
      <c r="M123" t="s">
        <v>420</v>
      </c>
      <c r="N123" t="s">
        <v>420</v>
      </c>
      <c r="O123" t="s">
        <v>420</v>
      </c>
      <c r="P123" t="s">
        <v>420</v>
      </c>
      <c r="Q123" t="s">
        <v>420</v>
      </c>
      <c r="R123">
        <v>1</v>
      </c>
    </row>
    <row r="124" spans="1:18" x14ac:dyDescent="0.35">
      <c r="A124" t="s">
        <v>503</v>
      </c>
      <c r="B124" s="1">
        <v>2023</v>
      </c>
      <c r="C124">
        <v>445002</v>
      </c>
      <c r="D124">
        <v>52624</v>
      </c>
      <c r="E124">
        <v>0</v>
      </c>
      <c r="F124">
        <v>0</v>
      </c>
      <c r="G124">
        <v>0</v>
      </c>
      <c r="H124">
        <v>5575</v>
      </c>
      <c r="I124">
        <v>1640891</v>
      </c>
      <c r="J124">
        <v>40996</v>
      </c>
      <c r="K124">
        <v>0</v>
      </c>
      <c r="L124">
        <v>11628</v>
      </c>
      <c r="M124">
        <v>0</v>
      </c>
      <c r="N124">
        <v>0</v>
      </c>
      <c r="O124">
        <v>1958634</v>
      </c>
      <c r="P124">
        <v>0</v>
      </c>
      <c r="Q124">
        <v>0</v>
      </c>
      <c r="R124">
        <v>2</v>
      </c>
    </row>
    <row r="125" spans="1:18" x14ac:dyDescent="0.35">
      <c r="A125" t="s">
        <v>435</v>
      </c>
      <c r="B125" s="1">
        <v>2023</v>
      </c>
      <c r="C125">
        <v>1030216</v>
      </c>
      <c r="D125">
        <v>0</v>
      </c>
      <c r="E125">
        <v>0</v>
      </c>
      <c r="F125">
        <v>0</v>
      </c>
      <c r="G125">
        <v>0</v>
      </c>
      <c r="H125">
        <v>0</v>
      </c>
      <c r="I125">
        <v>2783724</v>
      </c>
      <c r="J125">
        <v>0</v>
      </c>
      <c r="K125">
        <v>0</v>
      </c>
      <c r="L125">
        <v>0</v>
      </c>
      <c r="M125">
        <v>0</v>
      </c>
      <c r="N125">
        <v>0</v>
      </c>
      <c r="O125">
        <v>1957672</v>
      </c>
      <c r="P125" t="s">
        <v>420</v>
      </c>
      <c r="Q125" t="s">
        <v>420</v>
      </c>
      <c r="R125">
        <v>2</v>
      </c>
    </row>
    <row r="126" spans="1:18" x14ac:dyDescent="0.35">
      <c r="A126" t="s">
        <v>648</v>
      </c>
      <c r="B126" s="1">
        <v>2023</v>
      </c>
      <c r="C126">
        <v>222812</v>
      </c>
      <c r="D126">
        <v>0</v>
      </c>
      <c r="E126">
        <v>3</v>
      </c>
      <c r="F126">
        <v>0</v>
      </c>
      <c r="G126">
        <v>976</v>
      </c>
      <c r="H126">
        <v>0</v>
      </c>
      <c r="I126">
        <v>147943</v>
      </c>
      <c r="J126" t="s">
        <v>420</v>
      </c>
      <c r="K126" t="s">
        <v>420</v>
      </c>
      <c r="L126" t="s">
        <v>420</v>
      </c>
      <c r="M126" t="s">
        <v>420</v>
      </c>
      <c r="N126" t="s">
        <v>420</v>
      </c>
      <c r="O126" t="s">
        <v>420</v>
      </c>
      <c r="P126" t="s">
        <v>420</v>
      </c>
      <c r="Q126" t="s">
        <v>420</v>
      </c>
      <c r="R126">
        <v>1</v>
      </c>
    </row>
    <row r="127" spans="1:18" x14ac:dyDescent="0.35">
      <c r="A127" t="s">
        <v>639</v>
      </c>
      <c r="B127" s="1">
        <v>2023</v>
      </c>
      <c r="C127">
        <v>321920</v>
      </c>
      <c r="D127">
        <v>0</v>
      </c>
      <c r="E127">
        <v>0</v>
      </c>
      <c r="F127">
        <v>0</v>
      </c>
      <c r="G127">
        <v>0</v>
      </c>
      <c r="H127">
        <v>0</v>
      </c>
      <c r="I127">
        <v>479322</v>
      </c>
      <c r="J127" t="s">
        <v>420</v>
      </c>
      <c r="K127" t="s">
        <v>420</v>
      </c>
      <c r="L127" t="s">
        <v>420</v>
      </c>
      <c r="M127" t="s">
        <v>420</v>
      </c>
      <c r="N127" t="s">
        <v>420</v>
      </c>
      <c r="O127" t="s">
        <v>420</v>
      </c>
      <c r="P127" t="s">
        <v>420</v>
      </c>
      <c r="Q127" t="s">
        <v>420</v>
      </c>
      <c r="R127">
        <v>1</v>
      </c>
    </row>
    <row r="128" spans="1:18" x14ac:dyDescent="0.35">
      <c r="A128" t="s">
        <v>597</v>
      </c>
      <c r="B128" s="1">
        <v>2023</v>
      </c>
      <c r="C128" t="s">
        <v>420</v>
      </c>
      <c r="D128" t="s">
        <v>420</v>
      </c>
      <c r="E128" t="s">
        <v>420</v>
      </c>
      <c r="F128" t="s">
        <v>420</v>
      </c>
      <c r="G128" t="s">
        <v>420</v>
      </c>
      <c r="H128" t="s">
        <v>420</v>
      </c>
      <c r="I128" t="s">
        <v>420</v>
      </c>
      <c r="J128" t="s">
        <v>420</v>
      </c>
      <c r="K128" t="s">
        <v>420</v>
      </c>
      <c r="L128" t="s">
        <v>420</v>
      </c>
      <c r="M128" t="s">
        <v>420</v>
      </c>
      <c r="N128" t="s">
        <v>420</v>
      </c>
      <c r="O128" t="s">
        <v>420</v>
      </c>
      <c r="P128" t="s">
        <v>420</v>
      </c>
      <c r="Q128" t="s">
        <v>420</v>
      </c>
      <c r="R128">
        <v>1</v>
      </c>
    </row>
    <row r="129" spans="1:18" x14ac:dyDescent="0.35">
      <c r="A129" t="s">
        <v>626</v>
      </c>
      <c r="B129" s="1">
        <v>2023</v>
      </c>
      <c r="C129">
        <v>129312</v>
      </c>
      <c r="D129">
        <v>0</v>
      </c>
      <c r="E129">
        <v>0</v>
      </c>
      <c r="F129">
        <v>0</v>
      </c>
      <c r="G129">
        <v>0</v>
      </c>
      <c r="H129">
        <v>0</v>
      </c>
      <c r="I129">
        <v>250100</v>
      </c>
      <c r="J129" t="s">
        <v>420</v>
      </c>
      <c r="K129" t="s">
        <v>420</v>
      </c>
      <c r="L129" t="s">
        <v>420</v>
      </c>
      <c r="M129" t="s">
        <v>420</v>
      </c>
      <c r="N129" t="s">
        <v>420</v>
      </c>
      <c r="O129" t="s">
        <v>420</v>
      </c>
      <c r="P129" t="s">
        <v>420</v>
      </c>
      <c r="Q129" t="s">
        <v>420</v>
      </c>
      <c r="R129">
        <v>1</v>
      </c>
    </row>
    <row r="130" spans="1:18" x14ac:dyDescent="0.35">
      <c r="A130" t="s">
        <v>633</v>
      </c>
      <c r="B130" s="1">
        <v>2023</v>
      </c>
      <c r="C130">
        <v>125980</v>
      </c>
      <c r="D130">
        <v>0</v>
      </c>
      <c r="E130">
        <v>0</v>
      </c>
      <c r="F130">
        <v>0</v>
      </c>
      <c r="G130">
        <v>0</v>
      </c>
      <c r="H130">
        <v>0</v>
      </c>
      <c r="I130">
        <v>201730</v>
      </c>
      <c r="J130" t="s">
        <v>420</v>
      </c>
      <c r="K130" t="s">
        <v>420</v>
      </c>
      <c r="L130" t="s">
        <v>420</v>
      </c>
      <c r="M130" t="s">
        <v>420</v>
      </c>
      <c r="N130" t="s">
        <v>420</v>
      </c>
      <c r="O130" t="s">
        <v>420</v>
      </c>
      <c r="P130" t="s">
        <v>420</v>
      </c>
      <c r="Q130" t="s">
        <v>420</v>
      </c>
      <c r="R130">
        <v>1</v>
      </c>
    </row>
    <row r="131" spans="1:18" x14ac:dyDescent="0.35">
      <c r="A131" t="s">
        <v>629</v>
      </c>
      <c r="B131" s="1">
        <v>2023</v>
      </c>
      <c r="C131">
        <v>803777</v>
      </c>
      <c r="D131">
        <v>0</v>
      </c>
      <c r="E131">
        <v>0</v>
      </c>
      <c r="F131">
        <v>0</v>
      </c>
      <c r="G131">
        <v>0</v>
      </c>
      <c r="H131">
        <v>0</v>
      </c>
      <c r="I131">
        <v>1404008</v>
      </c>
      <c r="J131">
        <v>0</v>
      </c>
      <c r="K131">
        <v>0</v>
      </c>
      <c r="L131">
        <v>0</v>
      </c>
      <c r="M131">
        <v>0</v>
      </c>
      <c r="N131">
        <v>0</v>
      </c>
      <c r="O131">
        <v>1454139</v>
      </c>
      <c r="P131" t="s">
        <v>420</v>
      </c>
      <c r="Q131" t="s">
        <v>420</v>
      </c>
      <c r="R131">
        <v>1</v>
      </c>
    </row>
    <row r="132" spans="1:18" x14ac:dyDescent="0.35">
      <c r="A132" t="s">
        <v>518</v>
      </c>
      <c r="B132" s="1">
        <v>2023</v>
      </c>
      <c r="C132">
        <v>973855</v>
      </c>
      <c r="D132">
        <v>44898</v>
      </c>
      <c r="E132">
        <v>0</v>
      </c>
      <c r="F132">
        <v>0</v>
      </c>
      <c r="G132">
        <v>5868</v>
      </c>
      <c r="H132">
        <v>0</v>
      </c>
      <c r="I132">
        <v>1730430</v>
      </c>
      <c r="J132">
        <v>44898</v>
      </c>
      <c r="K132">
        <v>0</v>
      </c>
      <c r="L132">
        <v>0</v>
      </c>
      <c r="M132">
        <v>0</v>
      </c>
      <c r="N132">
        <v>0</v>
      </c>
      <c r="O132">
        <v>2005132</v>
      </c>
      <c r="P132" t="s">
        <v>420</v>
      </c>
      <c r="Q132" t="s">
        <v>420</v>
      </c>
      <c r="R132">
        <v>1</v>
      </c>
    </row>
    <row r="133" spans="1:18" x14ac:dyDescent="0.35">
      <c r="A133" t="s">
        <v>583</v>
      </c>
      <c r="B133" s="1">
        <v>2023</v>
      </c>
      <c r="C133">
        <v>149687</v>
      </c>
      <c r="D133">
        <v>0</v>
      </c>
      <c r="E133">
        <v>1677</v>
      </c>
      <c r="F133">
        <v>0</v>
      </c>
      <c r="G133">
        <v>30460</v>
      </c>
      <c r="H133">
        <v>0</v>
      </c>
      <c r="I133">
        <v>478192</v>
      </c>
      <c r="J133">
        <v>0</v>
      </c>
      <c r="K133">
        <v>0</v>
      </c>
      <c r="L133">
        <v>0</v>
      </c>
      <c r="M133">
        <v>0</v>
      </c>
      <c r="N133">
        <v>0</v>
      </c>
      <c r="O133">
        <v>557859</v>
      </c>
      <c r="P133">
        <v>0</v>
      </c>
      <c r="Q133">
        <v>0</v>
      </c>
      <c r="R133">
        <v>1</v>
      </c>
    </row>
    <row r="134" spans="1:18" x14ac:dyDescent="0.35">
      <c r="A134" t="s">
        <v>482</v>
      </c>
      <c r="B134" s="1">
        <v>2023</v>
      </c>
      <c r="C134">
        <v>159964</v>
      </c>
      <c r="D134">
        <v>0</v>
      </c>
      <c r="E134">
        <v>0</v>
      </c>
      <c r="F134">
        <v>0</v>
      </c>
      <c r="G134">
        <v>0</v>
      </c>
      <c r="H134">
        <v>0</v>
      </c>
      <c r="I134">
        <v>368350</v>
      </c>
      <c r="J134" t="s">
        <v>420</v>
      </c>
      <c r="K134" t="s">
        <v>420</v>
      </c>
      <c r="L134" t="s">
        <v>420</v>
      </c>
      <c r="M134" t="s">
        <v>420</v>
      </c>
      <c r="N134" t="s">
        <v>420</v>
      </c>
      <c r="O134" t="s">
        <v>420</v>
      </c>
      <c r="P134" t="s">
        <v>420</v>
      </c>
      <c r="Q134" t="s">
        <v>420</v>
      </c>
      <c r="R134">
        <v>2</v>
      </c>
    </row>
    <row r="135" spans="1:18" x14ac:dyDescent="0.35">
      <c r="A135" t="s">
        <v>520</v>
      </c>
      <c r="B135" s="1">
        <v>2023</v>
      </c>
      <c r="C135">
        <v>619653</v>
      </c>
      <c r="D135">
        <v>82870</v>
      </c>
      <c r="E135">
        <v>0</v>
      </c>
      <c r="F135">
        <v>0</v>
      </c>
      <c r="G135">
        <v>0</v>
      </c>
      <c r="H135">
        <v>0</v>
      </c>
      <c r="I135">
        <v>1202739</v>
      </c>
      <c r="J135">
        <v>82870</v>
      </c>
      <c r="K135">
        <v>0</v>
      </c>
      <c r="L135">
        <v>0</v>
      </c>
      <c r="M135">
        <v>0</v>
      </c>
      <c r="N135">
        <v>0</v>
      </c>
      <c r="O135">
        <v>1273878</v>
      </c>
      <c r="P135">
        <v>0</v>
      </c>
      <c r="Q135">
        <v>0</v>
      </c>
      <c r="R135">
        <v>1</v>
      </c>
    </row>
    <row r="136" spans="1:18" x14ac:dyDescent="0.35">
      <c r="A136" t="s">
        <v>495</v>
      </c>
      <c r="B136" s="1">
        <v>2023</v>
      </c>
      <c r="C136">
        <v>1086845</v>
      </c>
      <c r="D136">
        <v>0</v>
      </c>
      <c r="E136" t="s">
        <v>420</v>
      </c>
      <c r="F136" t="s">
        <v>420</v>
      </c>
      <c r="G136" t="s">
        <v>420</v>
      </c>
      <c r="H136" t="s">
        <v>420</v>
      </c>
      <c r="I136">
        <v>1946306</v>
      </c>
      <c r="J136" t="s">
        <v>420</v>
      </c>
      <c r="K136" t="s">
        <v>420</v>
      </c>
      <c r="L136" t="s">
        <v>420</v>
      </c>
      <c r="M136" t="s">
        <v>420</v>
      </c>
      <c r="N136" t="s">
        <v>420</v>
      </c>
      <c r="O136">
        <v>2320278</v>
      </c>
      <c r="P136" t="s">
        <v>420</v>
      </c>
      <c r="Q136" t="s">
        <v>420</v>
      </c>
      <c r="R136">
        <v>2</v>
      </c>
    </row>
    <row r="137" spans="1:18" x14ac:dyDescent="0.35">
      <c r="A137" t="s">
        <v>551</v>
      </c>
      <c r="B137" s="1">
        <v>2023</v>
      </c>
      <c r="C137">
        <v>102669</v>
      </c>
      <c r="D137">
        <v>0</v>
      </c>
      <c r="E137">
        <v>0</v>
      </c>
      <c r="F137">
        <v>0</v>
      </c>
      <c r="G137">
        <v>0</v>
      </c>
      <c r="H137">
        <v>0</v>
      </c>
      <c r="I137">
        <v>201557</v>
      </c>
      <c r="J137" t="s">
        <v>420</v>
      </c>
      <c r="K137" t="s">
        <v>420</v>
      </c>
      <c r="L137" t="s">
        <v>420</v>
      </c>
      <c r="M137" t="s">
        <v>420</v>
      </c>
      <c r="N137" t="s">
        <v>420</v>
      </c>
      <c r="O137" t="s">
        <v>420</v>
      </c>
      <c r="P137" t="s">
        <v>420</v>
      </c>
      <c r="Q137" t="s">
        <v>420</v>
      </c>
      <c r="R137">
        <v>1</v>
      </c>
    </row>
    <row r="138" spans="1:18" x14ac:dyDescent="0.35">
      <c r="A138" t="s">
        <v>432</v>
      </c>
      <c r="B138" s="1">
        <v>2023</v>
      </c>
      <c r="C138">
        <v>1025591</v>
      </c>
      <c r="D138">
        <v>46085</v>
      </c>
      <c r="E138">
        <v>0</v>
      </c>
      <c r="F138">
        <v>0</v>
      </c>
      <c r="G138">
        <v>0</v>
      </c>
      <c r="H138">
        <v>0</v>
      </c>
      <c r="I138">
        <v>3018945</v>
      </c>
      <c r="J138">
        <v>39672</v>
      </c>
      <c r="K138">
        <v>6413</v>
      </c>
      <c r="L138">
        <v>0</v>
      </c>
      <c r="M138">
        <v>0</v>
      </c>
      <c r="N138">
        <v>0</v>
      </c>
      <c r="O138">
        <v>1598328</v>
      </c>
      <c r="P138" t="s">
        <v>420</v>
      </c>
      <c r="Q138" t="s">
        <v>420</v>
      </c>
      <c r="R138">
        <v>2</v>
      </c>
    </row>
    <row r="139" spans="1:18" x14ac:dyDescent="0.35">
      <c r="A139" t="s">
        <v>459</v>
      </c>
      <c r="B139" s="1">
        <v>2023</v>
      </c>
      <c r="C139">
        <v>385246</v>
      </c>
      <c r="D139">
        <v>8722</v>
      </c>
      <c r="E139">
        <v>0</v>
      </c>
      <c r="F139">
        <v>0</v>
      </c>
      <c r="G139">
        <v>0</v>
      </c>
      <c r="H139">
        <v>0</v>
      </c>
      <c r="I139">
        <v>629689</v>
      </c>
      <c r="J139">
        <v>8722</v>
      </c>
      <c r="K139">
        <v>0</v>
      </c>
      <c r="L139">
        <v>0</v>
      </c>
      <c r="M139">
        <v>0</v>
      </c>
      <c r="N139">
        <v>0</v>
      </c>
      <c r="O139">
        <v>722996</v>
      </c>
      <c r="P139" t="s">
        <v>420</v>
      </c>
      <c r="Q139" t="s">
        <v>420</v>
      </c>
      <c r="R139">
        <v>2</v>
      </c>
    </row>
    <row r="140" spans="1:18" x14ac:dyDescent="0.35">
      <c r="A140" t="s">
        <v>458</v>
      </c>
      <c r="B140" s="1">
        <v>2023</v>
      </c>
      <c r="C140">
        <v>824913</v>
      </c>
      <c r="D140">
        <v>17960</v>
      </c>
      <c r="E140">
        <v>0</v>
      </c>
      <c r="F140">
        <v>0</v>
      </c>
      <c r="G140">
        <v>0</v>
      </c>
      <c r="H140">
        <v>0</v>
      </c>
      <c r="I140">
        <v>1265889</v>
      </c>
      <c r="J140">
        <v>17960</v>
      </c>
      <c r="K140">
        <v>0</v>
      </c>
      <c r="L140">
        <v>0</v>
      </c>
      <c r="M140">
        <v>0</v>
      </c>
      <c r="N140">
        <v>0</v>
      </c>
      <c r="O140">
        <v>1395052</v>
      </c>
      <c r="P140" t="s">
        <v>420</v>
      </c>
      <c r="Q140" t="s">
        <v>420</v>
      </c>
      <c r="R140">
        <v>2</v>
      </c>
    </row>
    <row r="141" spans="1:18" x14ac:dyDescent="0.35">
      <c r="A141" t="s">
        <v>436</v>
      </c>
      <c r="B141" s="1">
        <v>2023</v>
      </c>
      <c r="C141">
        <v>2144025</v>
      </c>
      <c r="D141">
        <v>51630</v>
      </c>
      <c r="E141">
        <v>0</v>
      </c>
      <c r="F141">
        <v>0</v>
      </c>
      <c r="G141">
        <v>0</v>
      </c>
      <c r="H141">
        <v>0</v>
      </c>
      <c r="I141">
        <v>3422748</v>
      </c>
      <c r="J141">
        <v>51630</v>
      </c>
      <c r="K141">
        <v>0</v>
      </c>
      <c r="L141">
        <v>0</v>
      </c>
      <c r="M141">
        <v>0</v>
      </c>
      <c r="N141">
        <v>0</v>
      </c>
      <c r="O141">
        <v>3261170</v>
      </c>
      <c r="P141" t="s">
        <v>420</v>
      </c>
      <c r="Q141" t="s">
        <v>420</v>
      </c>
      <c r="R141">
        <v>2</v>
      </c>
    </row>
    <row r="142" spans="1:18" x14ac:dyDescent="0.35">
      <c r="A142" t="s">
        <v>437</v>
      </c>
      <c r="B142" s="1">
        <v>2023</v>
      </c>
      <c r="C142">
        <v>818905</v>
      </c>
      <c r="D142">
        <v>41032</v>
      </c>
      <c r="E142">
        <v>0</v>
      </c>
      <c r="F142">
        <v>0</v>
      </c>
      <c r="G142">
        <v>0</v>
      </c>
      <c r="H142">
        <v>0</v>
      </c>
      <c r="I142">
        <v>3349912</v>
      </c>
      <c r="J142">
        <v>41032</v>
      </c>
      <c r="K142">
        <v>0</v>
      </c>
      <c r="L142">
        <v>0</v>
      </c>
      <c r="M142">
        <v>0</v>
      </c>
      <c r="N142">
        <v>0</v>
      </c>
      <c r="O142">
        <v>1455275</v>
      </c>
      <c r="P142" t="s">
        <v>420</v>
      </c>
      <c r="Q142" t="s">
        <v>420</v>
      </c>
      <c r="R142">
        <v>2</v>
      </c>
    </row>
    <row r="143" spans="1:18" x14ac:dyDescent="0.35">
      <c r="A143" t="s">
        <v>440</v>
      </c>
      <c r="B143" s="1">
        <v>2023</v>
      </c>
      <c r="C143">
        <v>29055</v>
      </c>
      <c r="D143">
        <v>12145</v>
      </c>
      <c r="E143">
        <v>0</v>
      </c>
      <c r="F143">
        <v>0</v>
      </c>
      <c r="G143">
        <v>0</v>
      </c>
      <c r="H143">
        <v>0</v>
      </c>
      <c r="I143">
        <v>1225112</v>
      </c>
      <c r="J143">
        <v>12145</v>
      </c>
      <c r="K143">
        <v>0</v>
      </c>
      <c r="L143">
        <v>0</v>
      </c>
      <c r="M143">
        <v>0</v>
      </c>
      <c r="N143">
        <v>0</v>
      </c>
      <c r="O143" t="s">
        <v>420</v>
      </c>
      <c r="P143" t="s">
        <v>420</v>
      </c>
      <c r="Q143" t="s">
        <v>420</v>
      </c>
      <c r="R143">
        <v>2</v>
      </c>
    </row>
    <row r="144" spans="1:18" x14ac:dyDescent="0.35">
      <c r="A144" t="s">
        <v>439</v>
      </c>
      <c r="B144" s="1">
        <v>2023</v>
      </c>
      <c r="C144">
        <v>941398</v>
      </c>
      <c r="D144">
        <v>41390</v>
      </c>
      <c r="E144">
        <v>0</v>
      </c>
      <c r="F144">
        <v>0</v>
      </c>
      <c r="G144">
        <v>0</v>
      </c>
      <c r="H144">
        <v>0</v>
      </c>
      <c r="I144">
        <v>1503514</v>
      </c>
      <c r="J144">
        <v>41390</v>
      </c>
      <c r="K144">
        <v>0</v>
      </c>
      <c r="L144">
        <v>0</v>
      </c>
      <c r="M144">
        <v>0</v>
      </c>
      <c r="N144">
        <v>0</v>
      </c>
      <c r="O144">
        <v>1707388</v>
      </c>
      <c r="P144" t="s">
        <v>420</v>
      </c>
      <c r="Q144" t="s">
        <v>420</v>
      </c>
      <c r="R144">
        <v>2</v>
      </c>
    </row>
    <row r="145" spans="1:18" x14ac:dyDescent="0.35">
      <c r="A145" t="s">
        <v>438</v>
      </c>
      <c r="B145" s="1">
        <v>2023</v>
      </c>
      <c r="C145">
        <v>2729057</v>
      </c>
      <c r="D145">
        <v>67830</v>
      </c>
      <c r="E145">
        <v>0</v>
      </c>
      <c r="F145">
        <v>0</v>
      </c>
      <c r="G145">
        <v>0</v>
      </c>
      <c r="H145">
        <v>0</v>
      </c>
      <c r="I145">
        <v>5846233</v>
      </c>
      <c r="J145">
        <v>31090</v>
      </c>
      <c r="K145">
        <v>36740</v>
      </c>
      <c r="L145">
        <v>0</v>
      </c>
      <c r="M145">
        <v>0</v>
      </c>
      <c r="N145">
        <v>0</v>
      </c>
      <c r="O145">
        <v>6371244</v>
      </c>
      <c r="P145" t="s">
        <v>420</v>
      </c>
      <c r="Q145" t="s">
        <v>420</v>
      </c>
      <c r="R145">
        <v>2</v>
      </c>
    </row>
    <row r="146" spans="1:18" x14ac:dyDescent="0.35">
      <c r="A146" t="s">
        <v>623</v>
      </c>
      <c r="B146" s="1">
        <v>2023</v>
      </c>
      <c r="C146">
        <v>80802</v>
      </c>
      <c r="D146">
        <v>0</v>
      </c>
      <c r="E146">
        <v>0</v>
      </c>
      <c r="F146">
        <v>0</v>
      </c>
      <c r="G146">
        <v>0</v>
      </c>
      <c r="H146">
        <v>0</v>
      </c>
      <c r="I146">
        <v>217804</v>
      </c>
      <c r="J146" t="s">
        <v>420</v>
      </c>
      <c r="K146" t="s">
        <v>420</v>
      </c>
      <c r="L146" t="s">
        <v>420</v>
      </c>
      <c r="M146" t="s">
        <v>420</v>
      </c>
      <c r="N146" t="s">
        <v>420</v>
      </c>
      <c r="O146" t="s">
        <v>420</v>
      </c>
      <c r="P146" t="s">
        <v>420</v>
      </c>
      <c r="Q146" t="s">
        <v>420</v>
      </c>
      <c r="R146">
        <v>1</v>
      </c>
    </row>
    <row r="147" spans="1:18" x14ac:dyDescent="0.35">
      <c r="A147" t="s">
        <v>451</v>
      </c>
      <c r="B147" s="1">
        <v>2023</v>
      </c>
      <c r="C147">
        <v>141271</v>
      </c>
      <c r="D147">
        <v>11918</v>
      </c>
      <c r="E147">
        <v>0</v>
      </c>
      <c r="F147">
        <v>0</v>
      </c>
      <c r="G147">
        <v>0</v>
      </c>
      <c r="H147">
        <v>0</v>
      </c>
      <c r="I147">
        <v>263488</v>
      </c>
      <c r="J147" t="s">
        <v>420</v>
      </c>
      <c r="K147" t="s">
        <v>420</v>
      </c>
      <c r="L147" t="s">
        <v>420</v>
      </c>
      <c r="M147" t="s">
        <v>420</v>
      </c>
      <c r="N147" t="s">
        <v>420</v>
      </c>
      <c r="O147" t="s">
        <v>420</v>
      </c>
      <c r="P147" t="s">
        <v>420</v>
      </c>
      <c r="Q147" t="s">
        <v>420</v>
      </c>
      <c r="R147">
        <v>2</v>
      </c>
    </row>
    <row r="148" spans="1:18" x14ac:dyDescent="0.35">
      <c r="A148" t="s">
        <v>506</v>
      </c>
      <c r="B148" s="1">
        <v>2023</v>
      </c>
      <c r="C148">
        <v>253369</v>
      </c>
      <c r="D148">
        <v>10987</v>
      </c>
      <c r="E148">
        <v>0</v>
      </c>
      <c r="F148">
        <v>0</v>
      </c>
      <c r="G148">
        <v>16429</v>
      </c>
      <c r="H148">
        <v>0</v>
      </c>
      <c r="I148">
        <v>639927</v>
      </c>
      <c r="J148" t="s">
        <v>420</v>
      </c>
      <c r="K148" t="s">
        <v>420</v>
      </c>
      <c r="L148" t="s">
        <v>420</v>
      </c>
      <c r="M148" t="s">
        <v>420</v>
      </c>
      <c r="N148" t="s">
        <v>420</v>
      </c>
      <c r="O148" t="s">
        <v>420</v>
      </c>
      <c r="P148" t="s">
        <v>420</v>
      </c>
      <c r="Q148" t="s">
        <v>420</v>
      </c>
      <c r="R148">
        <v>1</v>
      </c>
    </row>
    <row r="149" spans="1:18" x14ac:dyDescent="0.35">
      <c r="A149" t="s">
        <v>455</v>
      </c>
      <c r="B149" s="1">
        <v>2023</v>
      </c>
      <c r="C149" t="s">
        <v>420</v>
      </c>
      <c r="D149" t="s">
        <v>420</v>
      </c>
      <c r="E149" t="s">
        <v>420</v>
      </c>
      <c r="F149" t="s">
        <v>420</v>
      </c>
      <c r="G149" t="s">
        <v>420</v>
      </c>
      <c r="H149" t="s">
        <v>420</v>
      </c>
      <c r="I149" t="s">
        <v>420</v>
      </c>
      <c r="J149" t="s">
        <v>420</v>
      </c>
      <c r="K149" t="s">
        <v>420</v>
      </c>
      <c r="L149" t="s">
        <v>420</v>
      </c>
      <c r="M149" t="s">
        <v>420</v>
      </c>
      <c r="N149" t="s">
        <v>420</v>
      </c>
      <c r="O149" t="s">
        <v>420</v>
      </c>
      <c r="P149" t="s">
        <v>420</v>
      </c>
      <c r="Q149" t="s">
        <v>420</v>
      </c>
      <c r="R149">
        <v>2</v>
      </c>
    </row>
    <row r="150" spans="1:18" x14ac:dyDescent="0.35">
      <c r="A150" t="s">
        <v>501</v>
      </c>
      <c r="B150" s="1">
        <v>2023</v>
      </c>
      <c r="C150">
        <v>113846</v>
      </c>
      <c r="D150">
        <v>8239</v>
      </c>
      <c r="E150">
        <v>0</v>
      </c>
      <c r="F150">
        <v>0</v>
      </c>
      <c r="G150">
        <v>0</v>
      </c>
      <c r="H150">
        <v>0</v>
      </c>
      <c r="I150">
        <v>228607</v>
      </c>
      <c r="J150" t="s">
        <v>420</v>
      </c>
      <c r="K150" t="s">
        <v>420</v>
      </c>
      <c r="L150" t="s">
        <v>420</v>
      </c>
      <c r="M150" t="s">
        <v>420</v>
      </c>
      <c r="N150" t="s">
        <v>420</v>
      </c>
      <c r="O150" t="s">
        <v>420</v>
      </c>
      <c r="P150" t="s">
        <v>420</v>
      </c>
      <c r="Q150" t="s">
        <v>420</v>
      </c>
      <c r="R150">
        <v>2</v>
      </c>
    </row>
    <row r="151" spans="1:18" x14ac:dyDescent="0.35">
      <c r="A151" t="s">
        <v>586</v>
      </c>
      <c r="B151" s="1">
        <v>2023</v>
      </c>
      <c r="C151">
        <v>404858</v>
      </c>
      <c r="D151">
        <v>65810</v>
      </c>
      <c r="E151">
        <v>0</v>
      </c>
      <c r="F151">
        <v>0</v>
      </c>
      <c r="G151">
        <v>0</v>
      </c>
      <c r="H151">
        <v>0</v>
      </c>
      <c r="I151">
        <v>894516</v>
      </c>
      <c r="J151">
        <v>65810</v>
      </c>
      <c r="K151">
        <v>0</v>
      </c>
      <c r="L151">
        <v>0</v>
      </c>
      <c r="M151">
        <v>0</v>
      </c>
      <c r="N151">
        <v>0</v>
      </c>
      <c r="O151">
        <v>960703</v>
      </c>
      <c r="P151">
        <v>0</v>
      </c>
      <c r="Q151">
        <v>0</v>
      </c>
      <c r="R151">
        <v>1</v>
      </c>
    </row>
    <row r="152" spans="1:18" x14ac:dyDescent="0.35">
      <c r="A152" t="s">
        <v>485</v>
      </c>
      <c r="B152" s="1">
        <v>2023</v>
      </c>
      <c r="C152">
        <v>405413</v>
      </c>
      <c r="D152">
        <v>0</v>
      </c>
      <c r="E152">
        <v>0</v>
      </c>
      <c r="F152">
        <v>0</v>
      </c>
      <c r="G152">
        <v>0</v>
      </c>
      <c r="H152">
        <v>0</v>
      </c>
      <c r="I152">
        <v>371704</v>
      </c>
      <c r="J152">
        <v>0</v>
      </c>
      <c r="K152">
        <v>0</v>
      </c>
      <c r="L152">
        <v>0</v>
      </c>
      <c r="M152">
        <v>0</v>
      </c>
      <c r="N152">
        <v>0</v>
      </c>
      <c r="O152">
        <v>431144</v>
      </c>
      <c r="P152">
        <v>0</v>
      </c>
      <c r="Q152">
        <v>0</v>
      </c>
      <c r="R152">
        <v>2</v>
      </c>
    </row>
    <row r="153" spans="1:18" x14ac:dyDescent="0.35">
      <c r="A153" t="s">
        <v>509</v>
      </c>
      <c r="B153" s="1">
        <v>2023</v>
      </c>
      <c r="C153">
        <v>115069</v>
      </c>
      <c r="D153">
        <v>14417</v>
      </c>
      <c r="E153">
        <v>51251</v>
      </c>
      <c r="F153">
        <v>0</v>
      </c>
      <c r="G153">
        <v>25794</v>
      </c>
      <c r="H153">
        <v>0</v>
      </c>
      <c r="I153">
        <v>286837</v>
      </c>
      <c r="J153" t="s">
        <v>420</v>
      </c>
      <c r="K153" t="s">
        <v>420</v>
      </c>
      <c r="L153" t="s">
        <v>420</v>
      </c>
      <c r="M153" t="s">
        <v>420</v>
      </c>
      <c r="N153" t="s">
        <v>420</v>
      </c>
      <c r="O153" t="s">
        <v>420</v>
      </c>
      <c r="P153" t="s">
        <v>420</v>
      </c>
      <c r="Q153" t="s">
        <v>420</v>
      </c>
      <c r="R153">
        <v>1</v>
      </c>
    </row>
    <row r="154" spans="1:18" x14ac:dyDescent="0.35">
      <c r="A154" t="s">
        <v>555</v>
      </c>
      <c r="B154" s="1">
        <v>2023</v>
      </c>
      <c r="C154">
        <v>160788</v>
      </c>
      <c r="D154">
        <v>920</v>
      </c>
      <c r="E154">
        <v>0</v>
      </c>
      <c r="F154">
        <v>0</v>
      </c>
      <c r="G154">
        <v>0</v>
      </c>
      <c r="H154">
        <v>0</v>
      </c>
      <c r="I154">
        <v>319442</v>
      </c>
      <c r="J154" t="s">
        <v>420</v>
      </c>
      <c r="K154" t="s">
        <v>420</v>
      </c>
      <c r="L154" t="s">
        <v>420</v>
      </c>
      <c r="M154" t="s">
        <v>420</v>
      </c>
      <c r="N154" t="s">
        <v>420</v>
      </c>
      <c r="O154" t="s">
        <v>420</v>
      </c>
      <c r="P154" t="s">
        <v>420</v>
      </c>
      <c r="Q154" t="s">
        <v>420</v>
      </c>
      <c r="R154">
        <v>1</v>
      </c>
    </row>
    <row r="155" spans="1:18" x14ac:dyDescent="0.35">
      <c r="A155" t="s">
        <v>556</v>
      </c>
      <c r="B155" s="1">
        <v>2023</v>
      </c>
      <c r="C155" t="s">
        <v>420</v>
      </c>
      <c r="D155" t="s">
        <v>420</v>
      </c>
      <c r="E155" t="s">
        <v>420</v>
      </c>
      <c r="F155" t="s">
        <v>420</v>
      </c>
      <c r="G155" t="s">
        <v>420</v>
      </c>
      <c r="H155" t="s">
        <v>420</v>
      </c>
      <c r="I155" t="s">
        <v>420</v>
      </c>
      <c r="J155" t="s">
        <v>420</v>
      </c>
      <c r="K155" t="s">
        <v>420</v>
      </c>
      <c r="L155" t="s">
        <v>420</v>
      </c>
      <c r="M155" t="s">
        <v>420</v>
      </c>
      <c r="N155" t="s">
        <v>420</v>
      </c>
      <c r="O155" t="s">
        <v>420</v>
      </c>
      <c r="P155" t="s">
        <v>420</v>
      </c>
      <c r="Q155" t="s">
        <v>420</v>
      </c>
      <c r="R155">
        <v>1</v>
      </c>
    </row>
    <row r="156" spans="1:18" x14ac:dyDescent="0.35">
      <c r="A156" t="s">
        <v>534</v>
      </c>
      <c r="B156" s="1">
        <v>2023</v>
      </c>
      <c r="C156">
        <v>199828</v>
      </c>
      <c r="D156">
        <v>23651</v>
      </c>
      <c r="E156">
        <v>0</v>
      </c>
      <c r="F156">
        <v>0</v>
      </c>
      <c r="G156">
        <v>45232</v>
      </c>
      <c r="H156">
        <v>0</v>
      </c>
      <c r="I156">
        <v>623123</v>
      </c>
      <c r="J156" t="s">
        <v>420</v>
      </c>
      <c r="K156" t="s">
        <v>420</v>
      </c>
      <c r="L156" t="s">
        <v>420</v>
      </c>
      <c r="M156" t="s">
        <v>420</v>
      </c>
      <c r="N156" t="s">
        <v>420</v>
      </c>
      <c r="O156" t="s">
        <v>420</v>
      </c>
      <c r="P156" t="s">
        <v>420</v>
      </c>
      <c r="Q156" t="s">
        <v>420</v>
      </c>
      <c r="R156">
        <v>1</v>
      </c>
    </row>
    <row r="157" spans="1:18" x14ac:dyDescent="0.35">
      <c r="A157" t="s">
        <v>628</v>
      </c>
      <c r="B157" s="1">
        <v>2023</v>
      </c>
      <c r="C157">
        <v>113163</v>
      </c>
      <c r="D157">
        <v>0</v>
      </c>
      <c r="E157">
        <v>150</v>
      </c>
      <c r="F157">
        <v>0</v>
      </c>
      <c r="G157">
        <v>16000</v>
      </c>
      <c r="H157">
        <v>16000</v>
      </c>
      <c r="I157">
        <v>205227</v>
      </c>
      <c r="J157" t="s">
        <v>420</v>
      </c>
      <c r="K157" t="s">
        <v>420</v>
      </c>
      <c r="L157" t="s">
        <v>420</v>
      </c>
      <c r="M157" t="s">
        <v>420</v>
      </c>
      <c r="N157" t="s">
        <v>420</v>
      </c>
      <c r="O157" t="s">
        <v>420</v>
      </c>
      <c r="P157" t="s">
        <v>420</v>
      </c>
      <c r="Q157" t="s">
        <v>420</v>
      </c>
      <c r="R157">
        <v>1</v>
      </c>
    </row>
    <row r="158" spans="1:18" x14ac:dyDescent="0.35">
      <c r="A158" t="s">
        <v>528</v>
      </c>
      <c r="B158" s="1">
        <v>2023</v>
      </c>
      <c r="C158">
        <v>952906</v>
      </c>
      <c r="D158">
        <v>81474</v>
      </c>
      <c r="E158">
        <v>0</v>
      </c>
      <c r="F158">
        <v>0</v>
      </c>
      <c r="G158">
        <v>0</v>
      </c>
      <c r="H158">
        <v>0</v>
      </c>
      <c r="I158">
        <v>1486618</v>
      </c>
      <c r="J158">
        <v>0</v>
      </c>
      <c r="K158">
        <v>81474</v>
      </c>
      <c r="L158">
        <v>0</v>
      </c>
      <c r="M158">
        <v>0</v>
      </c>
      <c r="N158">
        <v>0</v>
      </c>
      <c r="O158">
        <v>1656886</v>
      </c>
      <c r="P158">
        <v>0</v>
      </c>
      <c r="Q158">
        <v>0</v>
      </c>
      <c r="R158">
        <v>1</v>
      </c>
    </row>
    <row r="159" spans="1:18" x14ac:dyDescent="0.35">
      <c r="A159" t="s">
        <v>631</v>
      </c>
      <c r="B159" s="1">
        <v>2023</v>
      </c>
      <c r="C159">
        <v>1425</v>
      </c>
      <c r="D159">
        <v>0</v>
      </c>
      <c r="E159">
        <v>0</v>
      </c>
      <c r="F159">
        <v>0</v>
      </c>
      <c r="G159">
        <v>0</v>
      </c>
      <c r="H159">
        <v>0</v>
      </c>
      <c r="I159">
        <v>2358</v>
      </c>
      <c r="J159" t="s">
        <v>420</v>
      </c>
      <c r="K159" t="s">
        <v>420</v>
      </c>
      <c r="L159" t="s">
        <v>420</v>
      </c>
      <c r="M159" t="s">
        <v>420</v>
      </c>
      <c r="N159" t="s">
        <v>420</v>
      </c>
      <c r="O159" t="s">
        <v>420</v>
      </c>
      <c r="P159" t="s">
        <v>420</v>
      </c>
      <c r="Q159" t="s">
        <v>420</v>
      </c>
      <c r="R159">
        <v>1</v>
      </c>
    </row>
    <row r="160" spans="1:18" x14ac:dyDescent="0.35">
      <c r="A160" t="s">
        <v>559</v>
      </c>
      <c r="B160" s="1">
        <v>2023</v>
      </c>
      <c r="C160">
        <v>1612315</v>
      </c>
      <c r="D160">
        <v>33737</v>
      </c>
      <c r="E160">
        <v>15</v>
      </c>
      <c r="F160">
        <v>0</v>
      </c>
      <c r="G160">
        <v>3582</v>
      </c>
      <c r="H160">
        <v>0</v>
      </c>
      <c r="I160">
        <v>3315094</v>
      </c>
      <c r="J160">
        <v>33737</v>
      </c>
      <c r="K160">
        <v>0</v>
      </c>
      <c r="L160">
        <v>0</v>
      </c>
      <c r="M160">
        <v>0</v>
      </c>
      <c r="N160">
        <v>0</v>
      </c>
      <c r="O160">
        <v>3267034</v>
      </c>
      <c r="P160">
        <v>2467442</v>
      </c>
      <c r="Q160">
        <v>0</v>
      </c>
      <c r="R160">
        <v>1</v>
      </c>
    </row>
    <row r="161" spans="1:18" x14ac:dyDescent="0.35">
      <c r="A161" t="s">
        <v>468</v>
      </c>
      <c r="B161" s="1">
        <v>2023</v>
      </c>
      <c r="C161">
        <v>808858</v>
      </c>
      <c r="D161">
        <v>0</v>
      </c>
      <c r="E161">
        <v>0</v>
      </c>
      <c r="F161">
        <v>0</v>
      </c>
      <c r="G161">
        <v>0</v>
      </c>
      <c r="H161">
        <v>0</v>
      </c>
      <c r="I161">
        <v>1797078</v>
      </c>
      <c r="J161">
        <v>0</v>
      </c>
      <c r="K161">
        <v>0</v>
      </c>
      <c r="L161">
        <v>0</v>
      </c>
      <c r="M161">
        <v>0</v>
      </c>
      <c r="N161">
        <v>0</v>
      </c>
      <c r="O161">
        <v>1942720</v>
      </c>
      <c r="P161">
        <v>0</v>
      </c>
      <c r="Q161">
        <v>0</v>
      </c>
      <c r="R161">
        <v>2</v>
      </c>
    </row>
    <row r="162" spans="1:18" x14ac:dyDescent="0.35">
      <c r="A162" t="s">
        <v>603</v>
      </c>
      <c r="B162" s="1">
        <v>2023</v>
      </c>
      <c r="C162">
        <v>254703</v>
      </c>
      <c r="D162">
        <v>0</v>
      </c>
      <c r="E162">
        <v>0</v>
      </c>
      <c r="F162">
        <v>0</v>
      </c>
      <c r="G162">
        <v>0</v>
      </c>
      <c r="H162">
        <v>0</v>
      </c>
      <c r="I162">
        <v>338611</v>
      </c>
      <c r="J162" t="s">
        <v>420</v>
      </c>
      <c r="K162" t="s">
        <v>420</v>
      </c>
      <c r="L162" t="s">
        <v>420</v>
      </c>
      <c r="M162" t="s">
        <v>420</v>
      </c>
      <c r="N162" t="s">
        <v>420</v>
      </c>
      <c r="O162" t="s">
        <v>420</v>
      </c>
      <c r="P162" t="s">
        <v>420</v>
      </c>
      <c r="Q162" t="s">
        <v>420</v>
      </c>
      <c r="R162">
        <v>1</v>
      </c>
    </row>
    <row r="163" spans="1:18" x14ac:dyDescent="0.35">
      <c r="A163" t="s">
        <v>544</v>
      </c>
      <c r="B163" s="1">
        <v>2023</v>
      </c>
      <c r="C163">
        <v>178916</v>
      </c>
      <c r="D163">
        <v>0</v>
      </c>
      <c r="E163">
        <v>0</v>
      </c>
      <c r="F163">
        <v>0</v>
      </c>
      <c r="G163">
        <v>0</v>
      </c>
      <c r="H163">
        <v>0</v>
      </c>
      <c r="I163">
        <v>258472</v>
      </c>
      <c r="J163" t="s">
        <v>420</v>
      </c>
      <c r="K163" t="s">
        <v>420</v>
      </c>
      <c r="L163" t="s">
        <v>420</v>
      </c>
      <c r="M163" t="s">
        <v>420</v>
      </c>
      <c r="N163" t="s">
        <v>420</v>
      </c>
      <c r="O163" t="s">
        <v>420</v>
      </c>
      <c r="P163" t="s">
        <v>420</v>
      </c>
      <c r="Q163" t="s">
        <v>420</v>
      </c>
      <c r="R163">
        <v>1</v>
      </c>
    </row>
    <row r="164" spans="1:18" x14ac:dyDescent="0.35">
      <c r="A164" t="s">
        <v>530</v>
      </c>
      <c r="B164" s="1">
        <v>2023</v>
      </c>
      <c r="C164">
        <v>190444</v>
      </c>
      <c r="D164">
        <v>6</v>
      </c>
      <c r="E164">
        <v>0</v>
      </c>
      <c r="F164">
        <v>0</v>
      </c>
      <c r="G164">
        <v>200</v>
      </c>
      <c r="H164">
        <v>0</v>
      </c>
      <c r="I164">
        <v>330638</v>
      </c>
      <c r="J164" t="s">
        <v>420</v>
      </c>
      <c r="K164" t="s">
        <v>420</v>
      </c>
      <c r="L164" t="s">
        <v>420</v>
      </c>
      <c r="M164" t="s">
        <v>420</v>
      </c>
      <c r="N164" t="s">
        <v>420</v>
      </c>
      <c r="O164" t="s">
        <v>420</v>
      </c>
      <c r="P164" t="s">
        <v>420</v>
      </c>
      <c r="Q164" t="s">
        <v>420</v>
      </c>
      <c r="R164">
        <v>1</v>
      </c>
    </row>
    <row r="165" spans="1:18" x14ac:dyDescent="0.35">
      <c r="A165" t="s">
        <v>462</v>
      </c>
      <c r="B165" s="1">
        <v>2023</v>
      </c>
      <c r="C165">
        <v>532597</v>
      </c>
      <c r="D165">
        <v>29710</v>
      </c>
      <c r="E165">
        <v>0</v>
      </c>
      <c r="F165">
        <v>0</v>
      </c>
      <c r="G165">
        <v>0</v>
      </c>
      <c r="H165">
        <v>0</v>
      </c>
      <c r="I165">
        <v>848949</v>
      </c>
      <c r="J165" t="s">
        <v>420</v>
      </c>
      <c r="K165" t="s">
        <v>420</v>
      </c>
      <c r="L165" t="s">
        <v>420</v>
      </c>
      <c r="M165" t="s">
        <v>420</v>
      </c>
      <c r="N165" t="s">
        <v>420</v>
      </c>
      <c r="O165" t="s">
        <v>420</v>
      </c>
      <c r="P165" t="s">
        <v>420</v>
      </c>
      <c r="Q165" t="s">
        <v>420</v>
      </c>
      <c r="R165">
        <v>2</v>
      </c>
    </row>
    <row r="166" spans="1:18" x14ac:dyDescent="0.35">
      <c r="A166" t="s">
        <v>486</v>
      </c>
      <c r="B166" s="1">
        <v>2023</v>
      </c>
      <c r="C166">
        <v>127571</v>
      </c>
      <c r="D166">
        <v>8031</v>
      </c>
      <c r="E166">
        <v>0</v>
      </c>
      <c r="F166">
        <v>0</v>
      </c>
      <c r="G166">
        <v>0</v>
      </c>
      <c r="H166">
        <v>0</v>
      </c>
      <c r="I166">
        <v>162001</v>
      </c>
      <c r="J166">
        <v>8031</v>
      </c>
      <c r="K166">
        <v>0</v>
      </c>
      <c r="L166">
        <v>0</v>
      </c>
      <c r="M166">
        <v>0</v>
      </c>
      <c r="N166">
        <v>0</v>
      </c>
      <c r="O166">
        <v>205586</v>
      </c>
      <c r="P166">
        <v>0</v>
      </c>
      <c r="Q166">
        <v>0</v>
      </c>
      <c r="R166">
        <v>2</v>
      </c>
    </row>
    <row r="167" spans="1:18" x14ac:dyDescent="0.35">
      <c r="A167" t="s">
        <v>566</v>
      </c>
      <c r="B167" s="1">
        <v>2023</v>
      </c>
      <c r="C167">
        <v>76412</v>
      </c>
      <c r="D167">
        <v>0</v>
      </c>
      <c r="E167">
        <v>0</v>
      </c>
      <c r="F167">
        <v>0</v>
      </c>
      <c r="G167">
        <v>0</v>
      </c>
      <c r="H167">
        <v>0</v>
      </c>
      <c r="I167">
        <v>204946</v>
      </c>
      <c r="J167" t="s">
        <v>420</v>
      </c>
      <c r="K167" t="s">
        <v>420</v>
      </c>
      <c r="L167" t="s">
        <v>420</v>
      </c>
      <c r="M167" t="s">
        <v>420</v>
      </c>
      <c r="N167" t="s">
        <v>420</v>
      </c>
      <c r="O167" t="s">
        <v>420</v>
      </c>
      <c r="P167" t="s">
        <v>420</v>
      </c>
      <c r="Q167" t="s">
        <v>420</v>
      </c>
      <c r="R167">
        <v>1</v>
      </c>
    </row>
    <row r="168" spans="1:18" x14ac:dyDescent="0.35">
      <c r="A168" t="s">
        <v>599</v>
      </c>
      <c r="B168" s="1">
        <v>2023</v>
      </c>
      <c r="C168">
        <v>1135921</v>
      </c>
      <c r="D168">
        <v>73456</v>
      </c>
      <c r="E168">
        <v>0</v>
      </c>
      <c r="F168">
        <v>0</v>
      </c>
      <c r="G168">
        <v>1886</v>
      </c>
      <c r="H168">
        <v>0</v>
      </c>
      <c r="I168">
        <v>2659553</v>
      </c>
      <c r="J168">
        <v>73456</v>
      </c>
      <c r="K168">
        <v>0</v>
      </c>
      <c r="L168">
        <v>0</v>
      </c>
      <c r="M168">
        <v>0</v>
      </c>
      <c r="N168">
        <v>0</v>
      </c>
      <c r="O168">
        <v>2870633</v>
      </c>
      <c r="P168" t="s">
        <v>420</v>
      </c>
      <c r="Q168" t="s">
        <v>420</v>
      </c>
      <c r="R168">
        <v>1</v>
      </c>
    </row>
    <row r="169" spans="1:18" x14ac:dyDescent="0.35">
      <c r="A169" t="s">
        <v>646</v>
      </c>
      <c r="B169" s="1">
        <v>2023</v>
      </c>
      <c r="C169">
        <v>333370</v>
      </c>
      <c r="D169">
        <v>0</v>
      </c>
      <c r="E169">
        <v>0</v>
      </c>
      <c r="F169">
        <v>0</v>
      </c>
      <c r="G169">
        <v>0</v>
      </c>
      <c r="H169">
        <v>0</v>
      </c>
      <c r="I169">
        <v>394630</v>
      </c>
      <c r="J169" t="s">
        <v>420</v>
      </c>
      <c r="K169" t="s">
        <v>420</v>
      </c>
      <c r="L169" t="s">
        <v>420</v>
      </c>
      <c r="M169" t="s">
        <v>420</v>
      </c>
      <c r="N169" t="s">
        <v>420</v>
      </c>
      <c r="O169" t="s">
        <v>420</v>
      </c>
      <c r="P169" t="s">
        <v>420</v>
      </c>
      <c r="Q169" t="s">
        <v>420</v>
      </c>
      <c r="R169">
        <v>1</v>
      </c>
    </row>
    <row r="170" spans="1:18" x14ac:dyDescent="0.35">
      <c r="A170" t="s">
        <v>472</v>
      </c>
      <c r="B170" s="1">
        <v>2023</v>
      </c>
      <c r="C170">
        <v>1135785</v>
      </c>
      <c r="D170">
        <v>0</v>
      </c>
      <c r="E170" t="s">
        <v>420</v>
      </c>
      <c r="F170" t="s">
        <v>420</v>
      </c>
      <c r="G170" t="s">
        <v>420</v>
      </c>
      <c r="H170" t="s">
        <v>420</v>
      </c>
      <c r="I170">
        <v>3454029</v>
      </c>
      <c r="J170" t="s">
        <v>420</v>
      </c>
      <c r="K170" t="s">
        <v>420</v>
      </c>
      <c r="L170" t="s">
        <v>420</v>
      </c>
      <c r="M170" t="s">
        <v>420</v>
      </c>
      <c r="N170" t="s">
        <v>420</v>
      </c>
      <c r="O170">
        <v>3947372</v>
      </c>
      <c r="P170" t="s">
        <v>420</v>
      </c>
      <c r="Q170" t="s">
        <v>420</v>
      </c>
      <c r="R170">
        <v>2</v>
      </c>
    </row>
    <row r="171" spans="1:18" x14ac:dyDescent="0.35">
      <c r="A171" t="s">
        <v>602</v>
      </c>
      <c r="B171" s="1">
        <v>2023</v>
      </c>
      <c r="C171">
        <v>644960</v>
      </c>
      <c r="D171">
        <v>32930</v>
      </c>
      <c r="E171">
        <v>0</v>
      </c>
      <c r="F171" t="s">
        <v>420</v>
      </c>
      <c r="G171">
        <v>0</v>
      </c>
      <c r="H171" t="s">
        <v>420</v>
      </c>
      <c r="I171">
        <v>1078735</v>
      </c>
      <c r="J171">
        <v>32930</v>
      </c>
      <c r="K171" t="s">
        <v>420</v>
      </c>
      <c r="L171" t="s">
        <v>420</v>
      </c>
      <c r="M171" t="s">
        <v>420</v>
      </c>
      <c r="N171" t="s">
        <v>420</v>
      </c>
      <c r="O171">
        <v>1172277</v>
      </c>
      <c r="P171" t="s">
        <v>420</v>
      </c>
      <c r="Q171" t="s">
        <v>420</v>
      </c>
      <c r="R171">
        <v>1</v>
      </c>
    </row>
    <row r="172" spans="1:18" x14ac:dyDescent="0.35">
      <c r="A172" t="s">
        <v>582</v>
      </c>
      <c r="B172" s="1">
        <v>2023</v>
      </c>
      <c r="C172">
        <v>1283124</v>
      </c>
      <c r="D172">
        <v>0</v>
      </c>
      <c r="E172">
        <v>0</v>
      </c>
      <c r="F172">
        <v>0</v>
      </c>
      <c r="G172">
        <v>5814</v>
      </c>
      <c r="H172">
        <v>0</v>
      </c>
      <c r="I172">
        <v>2488918</v>
      </c>
      <c r="J172">
        <v>0</v>
      </c>
      <c r="K172">
        <v>0</v>
      </c>
      <c r="L172">
        <v>0</v>
      </c>
      <c r="M172">
        <v>0</v>
      </c>
      <c r="N172">
        <v>0</v>
      </c>
      <c r="O172">
        <v>2600917</v>
      </c>
      <c r="P172">
        <v>0</v>
      </c>
      <c r="Q172">
        <v>0</v>
      </c>
      <c r="R172">
        <v>1</v>
      </c>
    </row>
    <row r="173" spans="1:18" x14ac:dyDescent="0.35">
      <c r="A173" t="s">
        <v>553</v>
      </c>
      <c r="B173" s="1">
        <v>2023</v>
      </c>
      <c r="C173">
        <v>134345</v>
      </c>
      <c r="D173">
        <v>105</v>
      </c>
      <c r="E173">
        <v>0</v>
      </c>
      <c r="F173">
        <v>0</v>
      </c>
      <c r="G173">
        <v>0</v>
      </c>
      <c r="H173">
        <v>0</v>
      </c>
      <c r="I173">
        <v>304555</v>
      </c>
      <c r="J173" t="s">
        <v>420</v>
      </c>
      <c r="K173" t="s">
        <v>420</v>
      </c>
      <c r="L173" t="s">
        <v>420</v>
      </c>
      <c r="M173" t="s">
        <v>420</v>
      </c>
      <c r="N173" t="s">
        <v>420</v>
      </c>
      <c r="O173" t="s">
        <v>420</v>
      </c>
      <c r="P173" t="s">
        <v>420</v>
      </c>
      <c r="Q173" t="s">
        <v>420</v>
      </c>
      <c r="R173">
        <v>1</v>
      </c>
    </row>
    <row r="174" spans="1:18" x14ac:dyDescent="0.35">
      <c r="A174" t="s">
        <v>550</v>
      </c>
      <c r="B174" s="1">
        <v>2023</v>
      </c>
      <c r="C174">
        <v>274087</v>
      </c>
      <c r="D174">
        <v>3285</v>
      </c>
      <c r="E174">
        <v>0</v>
      </c>
      <c r="F174">
        <v>0</v>
      </c>
      <c r="G174">
        <v>9710</v>
      </c>
      <c r="H174">
        <v>0</v>
      </c>
      <c r="I174">
        <v>668785</v>
      </c>
      <c r="J174" t="s">
        <v>420</v>
      </c>
      <c r="K174" t="s">
        <v>420</v>
      </c>
      <c r="L174" t="s">
        <v>420</v>
      </c>
      <c r="M174" t="s">
        <v>420</v>
      </c>
      <c r="N174" t="s">
        <v>420</v>
      </c>
      <c r="O174" t="s">
        <v>420</v>
      </c>
      <c r="P174" t="s">
        <v>420</v>
      </c>
      <c r="Q174" t="s">
        <v>420</v>
      </c>
      <c r="R174">
        <v>1</v>
      </c>
    </row>
    <row r="175" spans="1:18" x14ac:dyDescent="0.35">
      <c r="A175" t="s">
        <v>630</v>
      </c>
      <c r="B175" s="1">
        <v>2023</v>
      </c>
      <c r="C175" t="s">
        <v>420</v>
      </c>
      <c r="D175" t="s">
        <v>420</v>
      </c>
      <c r="E175" t="s">
        <v>420</v>
      </c>
      <c r="F175" t="s">
        <v>420</v>
      </c>
      <c r="G175" t="s">
        <v>420</v>
      </c>
      <c r="H175" t="s">
        <v>420</v>
      </c>
      <c r="I175" t="s">
        <v>420</v>
      </c>
      <c r="J175" t="s">
        <v>420</v>
      </c>
      <c r="K175" t="s">
        <v>420</v>
      </c>
      <c r="L175" t="s">
        <v>420</v>
      </c>
      <c r="M175" t="s">
        <v>420</v>
      </c>
      <c r="N175" t="s">
        <v>420</v>
      </c>
      <c r="O175" t="s">
        <v>420</v>
      </c>
      <c r="P175" t="s">
        <v>420</v>
      </c>
      <c r="Q175" t="s">
        <v>420</v>
      </c>
      <c r="R175">
        <v>1</v>
      </c>
    </row>
    <row r="176" spans="1:18" x14ac:dyDescent="0.35">
      <c r="A176" t="s">
        <v>457</v>
      </c>
      <c r="B176" s="1">
        <v>2023</v>
      </c>
      <c r="C176">
        <v>131808</v>
      </c>
      <c r="D176">
        <v>3961</v>
      </c>
      <c r="E176">
        <v>5150</v>
      </c>
      <c r="F176">
        <v>0</v>
      </c>
      <c r="G176">
        <v>35159</v>
      </c>
      <c r="H176">
        <v>0</v>
      </c>
      <c r="I176">
        <v>301337</v>
      </c>
      <c r="J176" t="s">
        <v>420</v>
      </c>
      <c r="K176" t="s">
        <v>420</v>
      </c>
      <c r="L176" t="s">
        <v>420</v>
      </c>
      <c r="M176" t="s">
        <v>420</v>
      </c>
      <c r="N176" t="s">
        <v>420</v>
      </c>
      <c r="O176" t="s">
        <v>420</v>
      </c>
      <c r="P176" t="s">
        <v>420</v>
      </c>
      <c r="Q176" t="s">
        <v>420</v>
      </c>
      <c r="R176">
        <v>2</v>
      </c>
    </row>
    <row r="177" spans="1:18" x14ac:dyDescent="0.35">
      <c r="A177" t="s">
        <v>571</v>
      </c>
      <c r="B177" s="1">
        <v>2023</v>
      </c>
      <c r="C177">
        <v>159061</v>
      </c>
      <c r="D177">
        <v>8703</v>
      </c>
      <c r="E177">
        <v>0</v>
      </c>
      <c r="F177">
        <v>0</v>
      </c>
      <c r="G177">
        <v>0</v>
      </c>
      <c r="H177">
        <v>0</v>
      </c>
      <c r="I177">
        <v>254251</v>
      </c>
      <c r="J177" t="s">
        <v>420</v>
      </c>
      <c r="K177" t="s">
        <v>420</v>
      </c>
      <c r="L177" t="s">
        <v>420</v>
      </c>
      <c r="M177" t="s">
        <v>420</v>
      </c>
      <c r="N177" t="s">
        <v>420</v>
      </c>
      <c r="O177" t="s">
        <v>420</v>
      </c>
      <c r="P177" t="s">
        <v>420</v>
      </c>
      <c r="Q177" t="s">
        <v>420</v>
      </c>
      <c r="R177">
        <v>1</v>
      </c>
    </row>
    <row r="178" spans="1:18" x14ac:dyDescent="0.35">
      <c r="A178" t="s">
        <v>430</v>
      </c>
      <c r="B178" s="1">
        <v>2023</v>
      </c>
      <c r="C178">
        <v>639741</v>
      </c>
      <c r="D178">
        <v>0</v>
      </c>
      <c r="E178">
        <v>0</v>
      </c>
      <c r="F178">
        <v>0</v>
      </c>
      <c r="G178">
        <v>33150</v>
      </c>
      <c r="H178">
        <v>27800</v>
      </c>
      <c r="I178">
        <v>681889</v>
      </c>
      <c r="J178" t="s">
        <v>420</v>
      </c>
      <c r="K178" t="s">
        <v>420</v>
      </c>
      <c r="L178" t="s">
        <v>420</v>
      </c>
      <c r="M178" t="s">
        <v>420</v>
      </c>
      <c r="N178" t="s">
        <v>420</v>
      </c>
      <c r="O178" t="s">
        <v>420</v>
      </c>
      <c r="P178" t="s">
        <v>420</v>
      </c>
      <c r="Q178" t="s">
        <v>420</v>
      </c>
      <c r="R178">
        <v>2</v>
      </c>
    </row>
    <row r="179" spans="1:18" x14ac:dyDescent="0.35">
      <c r="A179" t="s">
        <v>537</v>
      </c>
      <c r="B179" s="1">
        <v>2023</v>
      </c>
      <c r="C179">
        <v>999548</v>
      </c>
      <c r="D179">
        <v>8892</v>
      </c>
      <c r="E179">
        <v>0</v>
      </c>
      <c r="F179">
        <v>0</v>
      </c>
      <c r="G179">
        <v>0</v>
      </c>
      <c r="H179">
        <v>24396</v>
      </c>
      <c r="I179">
        <v>2136572</v>
      </c>
      <c r="J179">
        <v>0</v>
      </c>
      <c r="K179">
        <v>8892</v>
      </c>
      <c r="L179">
        <v>0</v>
      </c>
      <c r="M179">
        <v>0</v>
      </c>
      <c r="N179">
        <v>0</v>
      </c>
      <c r="O179">
        <v>2373672</v>
      </c>
      <c r="P179">
        <v>0</v>
      </c>
      <c r="Q179">
        <v>0</v>
      </c>
      <c r="R179">
        <v>1</v>
      </c>
    </row>
    <row r="180" spans="1:18" x14ac:dyDescent="0.35">
      <c r="A180" t="s">
        <v>475</v>
      </c>
      <c r="B180" s="1">
        <v>2023</v>
      </c>
      <c r="C180">
        <v>314218</v>
      </c>
      <c r="D180">
        <v>37929</v>
      </c>
      <c r="E180">
        <v>0</v>
      </c>
      <c r="F180">
        <v>0</v>
      </c>
      <c r="G180">
        <v>7980</v>
      </c>
      <c r="H180">
        <v>0</v>
      </c>
      <c r="I180">
        <v>508994</v>
      </c>
      <c r="J180">
        <v>0</v>
      </c>
      <c r="K180">
        <v>37929</v>
      </c>
      <c r="L180">
        <v>0</v>
      </c>
      <c r="M180">
        <v>0</v>
      </c>
      <c r="N180">
        <v>0</v>
      </c>
      <c r="O180">
        <v>585696</v>
      </c>
      <c r="P180">
        <v>0</v>
      </c>
      <c r="Q180">
        <v>0</v>
      </c>
      <c r="R180">
        <v>2</v>
      </c>
    </row>
    <row r="181" spans="1:18" x14ac:dyDescent="0.35">
      <c r="A181" t="s">
        <v>461</v>
      </c>
      <c r="B181" s="1">
        <v>2023</v>
      </c>
      <c r="C181" t="s">
        <v>420</v>
      </c>
      <c r="D181" t="s">
        <v>420</v>
      </c>
      <c r="E181" t="s">
        <v>420</v>
      </c>
      <c r="F181" t="s">
        <v>420</v>
      </c>
      <c r="G181" t="s">
        <v>420</v>
      </c>
      <c r="H181" t="s">
        <v>420</v>
      </c>
      <c r="I181" t="s">
        <v>420</v>
      </c>
      <c r="J181" t="s">
        <v>420</v>
      </c>
      <c r="K181" t="s">
        <v>420</v>
      </c>
      <c r="L181" t="s">
        <v>420</v>
      </c>
      <c r="M181" t="s">
        <v>420</v>
      </c>
      <c r="N181" t="s">
        <v>420</v>
      </c>
      <c r="O181" t="s">
        <v>420</v>
      </c>
      <c r="P181" t="s">
        <v>420</v>
      </c>
      <c r="Q181" t="s">
        <v>420</v>
      </c>
      <c r="R181">
        <v>2</v>
      </c>
    </row>
    <row r="182" spans="1:18" x14ac:dyDescent="0.35">
      <c r="A182" t="s">
        <v>493</v>
      </c>
      <c r="B182" s="1">
        <v>2023</v>
      </c>
      <c r="C182" t="s">
        <v>420</v>
      </c>
      <c r="D182" t="s">
        <v>420</v>
      </c>
      <c r="E182" t="s">
        <v>420</v>
      </c>
      <c r="F182" t="s">
        <v>420</v>
      </c>
      <c r="G182" t="s">
        <v>420</v>
      </c>
      <c r="H182" t="s">
        <v>420</v>
      </c>
      <c r="I182" t="s">
        <v>420</v>
      </c>
      <c r="J182" t="s">
        <v>420</v>
      </c>
      <c r="K182" t="s">
        <v>420</v>
      </c>
      <c r="L182" t="s">
        <v>420</v>
      </c>
      <c r="M182" t="s">
        <v>420</v>
      </c>
      <c r="N182" t="s">
        <v>420</v>
      </c>
      <c r="O182" t="s">
        <v>420</v>
      </c>
      <c r="P182" t="s">
        <v>420</v>
      </c>
      <c r="Q182" t="s">
        <v>420</v>
      </c>
      <c r="R182">
        <v>2</v>
      </c>
    </row>
    <row r="183" spans="1:18" x14ac:dyDescent="0.35">
      <c r="A183" t="s">
        <v>578</v>
      </c>
      <c r="B183" s="1">
        <v>2023</v>
      </c>
      <c r="C183">
        <v>559902</v>
      </c>
      <c r="D183">
        <v>14437</v>
      </c>
      <c r="E183">
        <v>2023</v>
      </c>
      <c r="F183">
        <v>0</v>
      </c>
      <c r="G183">
        <v>73063</v>
      </c>
      <c r="H183">
        <v>0</v>
      </c>
      <c r="I183">
        <v>957326</v>
      </c>
      <c r="J183">
        <v>14437</v>
      </c>
      <c r="K183">
        <v>0</v>
      </c>
      <c r="L183">
        <v>0</v>
      </c>
      <c r="M183">
        <v>0</v>
      </c>
      <c r="N183">
        <v>0</v>
      </c>
      <c r="O183">
        <v>1119765</v>
      </c>
      <c r="P183">
        <v>0</v>
      </c>
      <c r="Q183">
        <v>0</v>
      </c>
      <c r="R183">
        <v>1</v>
      </c>
    </row>
    <row r="184" spans="1:18" x14ac:dyDescent="0.35">
      <c r="A184" t="s">
        <v>610</v>
      </c>
      <c r="B184" s="1">
        <v>2023</v>
      </c>
      <c r="C184">
        <v>136757</v>
      </c>
      <c r="D184">
        <v>14001</v>
      </c>
      <c r="E184">
        <v>0</v>
      </c>
      <c r="F184">
        <v>0</v>
      </c>
      <c r="G184">
        <v>0</v>
      </c>
      <c r="H184">
        <v>0</v>
      </c>
      <c r="I184">
        <v>236984</v>
      </c>
      <c r="J184" t="s">
        <v>420</v>
      </c>
      <c r="K184" t="s">
        <v>420</v>
      </c>
      <c r="L184" t="s">
        <v>420</v>
      </c>
      <c r="M184" t="s">
        <v>420</v>
      </c>
      <c r="N184" t="s">
        <v>420</v>
      </c>
      <c r="O184" t="s">
        <v>420</v>
      </c>
      <c r="P184" t="s">
        <v>420</v>
      </c>
      <c r="Q184" t="s">
        <v>420</v>
      </c>
      <c r="R184">
        <v>1</v>
      </c>
    </row>
    <row r="185" spans="1:18" x14ac:dyDescent="0.35">
      <c r="A185" t="s">
        <v>632</v>
      </c>
      <c r="B185" s="1">
        <v>2023</v>
      </c>
      <c r="C185">
        <v>286810</v>
      </c>
      <c r="D185">
        <v>0</v>
      </c>
      <c r="E185">
        <v>0</v>
      </c>
      <c r="F185">
        <v>0</v>
      </c>
      <c r="G185">
        <v>0</v>
      </c>
      <c r="H185">
        <v>0</v>
      </c>
      <c r="I185">
        <v>434945</v>
      </c>
      <c r="J185" t="s">
        <v>420</v>
      </c>
      <c r="K185" t="s">
        <v>420</v>
      </c>
      <c r="L185" t="s">
        <v>420</v>
      </c>
      <c r="M185" t="s">
        <v>420</v>
      </c>
      <c r="N185" t="s">
        <v>420</v>
      </c>
      <c r="O185" t="s">
        <v>420</v>
      </c>
      <c r="P185" t="s">
        <v>420</v>
      </c>
      <c r="Q185" t="s">
        <v>420</v>
      </c>
      <c r="R185">
        <v>1</v>
      </c>
    </row>
    <row r="186" spans="1:18" x14ac:dyDescent="0.35">
      <c r="A186" t="s">
        <v>574</v>
      </c>
      <c r="B186" s="1">
        <v>2023</v>
      </c>
      <c r="C186" t="s">
        <v>420</v>
      </c>
      <c r="D186" t="s">
        <v>420</v>
      </c>
      <c r="E186" t="s">
        <v>420</v>
      </c>
      <c r="F186" t="s">
        <v>420</v>
      </c>
      <c r="G186" t="s">
        <v>420</v>
      </c>
      <c r="H186" t="s">
        <v>420</v>
      </c>
      <c r="I186" t="s">
        <v>420</v>
      </c>
      <c r="J186" t="s">
        <v>420</v>
      </c>
      <c r="K186" t="s">
        <v>420</v>
      </c>
      <c r="L186" t="s">
        <v>420</v>
      </c>
      <c r="M186" t="s">
        <v>420</v>
      </c>
      <c r="N186" t="s">
        <v>420</v>
      </c>
      <c r="O186" t="s">
        <v>420</v>
      </c>
      <c r="P186" t="s">
        <v>420</v>
      </c>
      <c r="Q186" t="s">
        <v>420</v>
      </c>
      <c r="R186">
        <v>1</v>
      </c>
    </row>
    <row r="187" spans="1:18" x14ac:dyDescent="0.35">
      <c r="A187" t="s">
        <v>516</v>
      </c>
      <c r="B187" s="1">
        <v>2023</v>
      </c>
      <c r="C187">
        <v>891578</v>
      </c>
      <c r="D187">
        <v>32816</v>
      </c>
      <c r="E187">
        <v>0</v>
      </c>
      <c r="F187">
        <v>0</v>
      </c>
      <c r="G187">
        <v>4434</v>
      </c>
      <c r="H187">
        <v>0</v>
      </c>
      <c r="I187">
        <v>1822874</v>
      </c>
      <c r="J187">
        <v>11151</v>
      </c>
      <c r="K187">
        <v>18038</v>
      </c>
      <c r="L187">
        <v>0</v>
      </c>
      <c r="M187">
        <v>3627</v>
      </c>
      <c r="N187">
        <v>0</v>
      </c>
      <c r="O187">
        <v>1879209</v>
      </c>
      <c r="P187">
        <v>0</v>
      </c>
      <c r="Q187">
        <v>0</v>
      </c>
      <c r="R187">
        <v>1</v>
      </c>
    </row>
    <row r="188" spans="1:18" x14ac:dyDescent="0.35">
      <c r="A188" t="s">
        <v>483</v>
      </c>
      <c r="B188" s="1">
        <v>2023</v>
      </c>
      <c r="C188">
        <v>183000</v>
      </c>
      <c r="D188">
        <v>0</v>
      </c>
      <c r="E188">
        <v>0</v>
      </c>
      <c r="F188">
        <v>0</v>
      </c>
      <c r="G188">
        <v>0</v>
      </c>
      <c r="H188">
        <v>0</v>
      </c>
      <c r="I188">
        <v>665350</v>
      </c>
      <c r="J188" t="s">
        <v>420</v>
      </c>
      <c r="K188" t="s">
        <v>420</v>
      </c>
      <c r="L188" t="s">
        <v>420</v>
      </c>
      <c r="M188" t="s">
        <v>420</v>
      </c>
      <c r="N188" t="s">
        <v>420</v>
      </c>
      <c r="O188" t="s">
        <v>420</v>
      </c>
      <c r="P188" t="s">
        <v>420</v>
      </c>
      <c r="Q188" t="s">
        <v>420</v>
      </c>
      <c r="R188">
        <v>2</v>
      </c>
    </row>
    <row r="189" spans="1:18" x14ac:dyDescent="0.35">
      <c r="A189" t="s">
        <v>538</v>
      </c>
      <c r="B189" s="1">
        <v>2023</v>
      </c>
      <c r="C189">
        <v>152564</v>
      </c>
      <c r="D189">
        <v>0</v>
      </c>
      <c r="E189">
        <v>3499</v>
      </c>
      <c r="F189">
        <v>0</v>
      </c>
      <c r="G189">
        <v>52850</v>
      </c>
      <c r="H189">
        <v>0</v>
      </c>
      <c r="I189">
        <v>285925</v>
      </c>
      <c r="J189" t="s">
        <v>420</v>
      </c>
      <c r="K189" t="s">
        <v>420</v>
      </c>
      <c r="L189" t="s">
        <v>420</v>
      </c>
      <c r="M189" t="s">
        <v>420</v>
      </c>
      <c r="N189" t="s">
        <v>420</v>
      </c>
      <c r="O189" t="s">
        <v>420</v>
      </c>
      <c r="P189" t="s">
        <v>420</v>
      </c>
      <c r="Q189" t="s">
        <v>420</v>
      </c>
      <c r="R189">
        <v>1</v>
      </c>
    </row>
    <row r="190" spans="1:18" x14ac:dyDescent="0.35">
      <c r="A190" t="s">
        <v>591</v>
      </c>
      <c r="B190" s="1">
        <v>2023</v>
      </c>
      <c r="C190" t="s">
        <v>420</v>
      </c>
      <c r="D190" t="s">
        <v>420</v>
      </c>
      <c r="E190" t="s">
        <v>420</v>
      </c>
      <c r="F190" t="s">
        <v>420</v>
      </c>
      <c r="G190" t="s">
        <v>420</v>
      </c>
      <c r="H190" t="s">
        <v>420</v>
      </c>
      <c r="I190" t="s">
        <v>420</v>
      </c>
      <c r="J190" t="s">
        <v>420</v>
      </c>
      <c r="K190" t="s">
        <v>420</v>
      </c>
      <c r="L190" t="s">
        <v>420</v>
      </c>
      <c r="M190" t="s">
        <v>420</v>
      </c>
      <c r="N190" t="s">
        <v>420</v>
      </c>
      <c r="O190" t="s">
        <v>420</v>
      </c>
      <c r="P190" t="s">
        <v>420</v>
      </c>
      <c r="Q190" t="s">
        <v>420</v>
      </c>
      <c r="R190">
        <v>1</v>
      </c>
    </row>
    <row r="191" spans="1:18" x14ac:dyDescent="0.35">
      <c r="A191" t="s">
        <v>510</v>
      </c>
      <c r="B191" s="1">
        <v>2023</v>
      </c>
      <c r="C191">
        <v>129200</v>
      </c>
      <c r="D191">
        <v>0</v>
      </c>
      <c r="E191">
        <v>0</v>
      </c>
      <c r="F191">
        <v>0</v>
      </c>
      <c r="G191">
        <v>0</v>
      </c>
      <c r="H191">
        <v>0</v>
      </c>
      <c r="I191">
        <v>272850</v>
      </c>
      <c r="J191" t="s">
        <v>420</v>
      </c>
      <c r="K191" t="s">
        <v>420</v>
      </c>
      <c r="L191" t="s">
        <v>420</v>
      </c>
      <c r="M191" t="s">
        <v>420</v>
      </c>
      <c r="N191" t="s">
        <v>420</v>
      </c>
      <c r="O191" t="s">
        <v>420</v>
      </c>
      <c r="P191" t="s">
        <v>420</v>
      </c>
      <c r="Q191" t="s">
        <v>420</v>
      </c>
      <c r="R191">
        <v>1</v>
      </c>
    </row>
    <row r="192" spans="1:18" x14ac:dyDescent="0.35">
      <c r="A192" t="s">
        <v>505</v>
      </c>
      <c r="B192" s="1">
        <v>2023</v>
      </c>
      <c r="C192" t="s">
        <v>420</v>
      </c>
      <c r="D192" t="s">
        <v>420</v>
      </c>
      <c r="E192" t="s">
        <v>420</v>
      </c>
      <c r="F192" t="s">
        <v>420</v>
      </c>
      <c r="G192" t="s">
        <v>420</v>
      </c>
      <c r="H192" t="s">
        <v>420</v>
      </c>
      <c r="I192" t="s">
        <v>420</v>
      </c>
      <c r="J192" t="s">
        <v>420</v>
      </c>
      <c r="K192" t="s">
        <v>420</v>
      </c>
      <c r="L192" t="s">
        <v>420</v>
      </c>
      <c r="M192" t="s">
        <v>420</v>
      </c>
      <c r="N192" t="s">
        <v>420</v>
      </c>
      <c r="O192" t="s">
        <v>420</v>
      </c>
      <c r="P192" t="s">
        <v>420</v>
      </c>
      <c r="Q192" t="s">
        <v>420</v>
      </c>
      <c r="R192">
        <v>1</v>
      </c>
    </row>
    <row r="193" spans="1:18" x14ac:dyDescent="0.35">
      <c r="A193" t="s">
        <v>600</v>
      </c>
      <c r="B193" s="1">
        <v>2023</v>
      </c>
      <c r="C193">
        <v>216949</v>
      </c>
      <c r="D193">
        <v>0</v>
      </c>
      <c r="E193">
        <v>0</v>
      </c>
      <c r="F193">
        <v>0</v>
      </c>
      <c r="G193">
        <v>0</v>
      </c>
      <c r="H193">
        <v>0</v>
      </c>
      <c r="I193">
        <v>219167</v>
      </c>
      <c r="J193" t="s">
        <v>420</v>
      </c>
      <c r="K193" t="s">
        <v>420</v>
      </c>
      <c r="L193" t="s">
        <v>420</v>
      </c>
      <c r="M193" t="s">
        <v>420</v>
      </c>
      <c r="N193" t="s">
        <v>420</v>
      </c>
      <c r="O193" t="s">
        <v>420</v>
      </c>
      <c r="P193" t="s">
        <v>420</v>
      </c>
      <c r="Q193" t="s">
        <v>420</v>
      </c>
      <c r="R193">
        <v>1</v>
      </c>
    </row>
    <row r="194" spans="1:18" x14ac:dyDescent="0.35">
      <c r="A194" t="s">
        <v>580</v>
      </c>
      <c r="B194" s="1">
        <v>2023</v>
      </c>
      <c r="C194">
        <v>1207261</v>
      </c>
      <c r="D194">
        <v>46652</v>
      </c>
      <c r="E194">
        <v>0</v>
      </c>
      <c r="F194">
        <v>0</v>
      </c>
      <c r="G194">
        <v>0</v>
      </c>
      <c r="H194">
        <v>0</v>
      </c>
      <c r="I194">
        <v>2981316</v>
      </c>
      <c r="J194">
        <v>46652</v>
      </c>
      <c r="K194">
        <v>0</v>
      </c>
      <c r="L194">
        <v>0</v>
      </c>
      <c r="M194">
        <v>0</v>
      </c>
      <c r="N194">
        <v>0</v>
      </c>
      <c r="O194">
        <v>3211863</v>
      </c>
      <c r="P194">
        <v>0</v>
      </c>
      <c r="Q194">
        <v>0</v>
      </c>
      <c r="R194">
        <v>1</v>
      </c>
    </row>
    <row r="195" spans="1:18" x14ac:dyDescent="0.35">
      <c r="A195" t="s">
        <v>535</v>
      </c>
      <c r="B195" s="1">
        <v>2023</v>
      </c>
      <c r="C195">
        <v>159786</v>
      </c>
      <c r="D195">
        <v>0</v>
      </c>
      <c r="E195">
        <v>0</v>
      </c>
      <c r="F195">
        <v>0</v>
      </c>
      <c r="G195">
        <v>28900</v>
      </c>
      <c r="H195">
        <v>0</v>
      </c>
      <c r="I195">
        <v>409056</v>
      </c>
      <c r="J195" t="s">
        <v>420</v>
      </c>
      <c r="K195" t="s">
        <v>420</v>
      </c>
      <c r="L195" t="s">
        <v>420</v>
      </c>
      <c r="M195" t="s">
        <v>420</v>
      </c>
      <c r="N195" t="s">
        <v>420</v>
      </c>
      <c r="O195" t="s">
        <v>420</v>
      </c>
      <c r="P195" t="s">
        <v>420</v>
      </c>
      <c r="Q195" t="s">
        <v>420</v>
      </c>
      <c r="R195">
        <v>1</v>
      </c>
    </row>
    <row r="196" spans="1:18" x14ac:dyDescent="0.35">
      <c r="A196" t="s">
        <v>557</v>
      </c>
      <c r="B196" s="1">
        <v>2023</v>
      </c>
      <c r="C196" t="s">
        <v>420</v>
      </c>
      <c r="D196" t="s">
        <v>420</v>
      </c>
      <c r="E196" t="s">
        <v>420</v>
      </c>
      <c r="F196" t="s">
        <v>420</v>
      </c>
      <c r="G196" t="s">
        <v>420</v>
      </c>
      <c r="H196" t="s">
        <v>420</v>
      </c>
      <c r="I196" t="s">
        <v>420</v>
      </c>
      <c r="J196" t="s">
        <v>420</v>
      </c>
      <c r="K196" t="s">
        <v>420</v>
      </c>
      <c r="L196" t="s">
        <v>420</v>
      </c>
      <c r="M196" t="s">
        <v>420</v>
      </c>
      <c r="N196" t="s">
        <v>420</v>
      </c>
      <c r="O196" t="s">
        <v>420</v>
      </c>
      <c r="P196" t="s">
        <v>420</v>
      </c>
      <c r="Q196" t="s">
        <v>420</v>
      </c>
      <c r="R196">
        <v>1</v>
      </c>
    </row>
    <row r="197" spans="1:18" x14ac:dyDescent="0.35">
      <c r="A197" t="s">
        <v>540</v>
      </c>
      <c r="B197" s="1">
        <v>2023</v>
      </c>
      <c r="C197">
        <v>202583</v>
      </c>
      <c r="D197">
        <v>6359</v>
      </c>
      <c r="E197">
        <v>0</v>
      </c>
      <c r="F197">
        <v>0</v>
      </c>
      <c r="G197">
        <v>0</v>
      </c>
      <c r="H197">
        <v>0</v>
      </c>
      <c r="I197">
        <v>441027</v>
      </c>
      <c r="J197" t="s">
        <v>420</v>
      </c>
      <c r="K197" t="s">
        <v>420</v>
      </c>
      <c r="L197" t="s">
        <v>420</v>
      </c>
      <c r="M197" t="s">
        <v>420</v>
      </c>
      <c r="N197" t="s">
        <v>420</v>
      </c>
      <c r="O197" t="s">
        <v>420</v>
      </c>
      <c r="P197" t="s">
        <v>420</v>
      </c>
      <c r="Q197" t="s">
        <v>420</v>
      </c>
      <c r="R197">
        <v>1</v>
      </c>
    </row>
    <row r="198" spans="1:18" x14ac:dyDescent="0.35">
      <c r="A198" t="s">
        <v>524</v>
      </c>
      <c r="B198" s="1">
        <v>2023</v>
      </c>
      <c r="C198">
        <v>5534597</v>
      </c>
      <c r="D198">
        <v>0</v>
      </c>
      <c r="E198">
        <v>384</v>
      </c>
      <c r="F198">
        <v>0</v>
      </c>
      <c r="G198">
        <v>38455</v>
      </c>
      <c r="H198">
        <v>0</v>
      </c>
      <c r="I198">
        <v>10527267</v>
      </c>
      <c r="J198">
        <v>0</v>
      </c>
      <c r="K198">
        <v>0</v>
      </c>
      <c r="L198">
        <v>0</v>
      </c>
      <c r="M198">
        <v>0</v>
      </c>
      <c r="N198">
        <v>0</v>
      </c>
      <c r="O198">
        <v>12202561</v>
      </c>
      <c r="P198">
        <v>0</v>
      </c>
      <c r="Q198">
        <v>0</v>
      </c>
      <c r="R198">
        <v>1</v>
      </c>
    </row>
    <row r="199" spans="1:18" x14ac:dyDescent="0.35">
      <c r="A199" t="s">
        <v>466</v>
      </c>
      <c r="B199" s="1">
        <v>2023</v>
      </c>
      <c r="C199">
        <v>216327</v>
      </c>
      <c r="D199">
        <v>8818</v>
      </c>
      <c r="E199">
        <v>0</v>
      </c>
      <c r="F199">
        <v>0</v>
      </c>
      <c r="G199">
        <v>0</v>
      </c>
      <c r="H199">
        <v>0</v>
      </c>
      <c r="I199">
        <v>264455</v>
      </c>
      <c r="J199" t="s">
        <v>420</v>
      </c>
      <c r="K199" t="s">
        <v>420</v>
      </c>
      <c r="L199" t="s">
        <v>420</v>
      </c>
      <c r="M199" t="s">
        <v>420</v>
      </c>
      <c r="N199" t="s">
        <v>420</v>
      </c>
      <c r="O199" t="s">
        <v>420</v>
      </c>
      <c r="P199" t="s">
        <v>420</v>
      </c>
      <c r="Q199" t="s">
        <v>420</v>
      </c>
      <c r="R199">
        <v>2</v>
      </c>
    </row>
    <row r="200" spans="1:18" x14ac:dyDescent="0.35">
      <c r="A200" t="s">
        <v>531</v>
      </c>
      <c r="B200" s="1">
        <v>2023</v>
      </c>
      <c r="C200">
        <v>813933</v>
      </c>
      <c r="D200">
        <v>64211</v>
      </c>
      <c r="E200">
        <v>0</v>
      </c>
      <c r="F200">
        <v>0</v>
      </c>
      <c r="G200">
        <v>0</v>
      </c>
      <c r="H200">
        <v>0</v>
      </c>
      <c r="I200">
        <v>1557784</v>
      </c>
      <c r="J200">
        <v>63800</v>
      </c>
      <c r="K200">
        <v>411</v>
      </c>
      <c r="L200">
        <v>0</v>
      </c>
      <c r="M200">
        <v>0</v>
      </c>
      <c r="N200">
        <v>0</v>
      </c>
      <c r="O200">
        <v>1680398</v>
      </c>
      <c r="P200">
        <v>0</v>
      </c>
      <c r="Q200">
        <v>0</v>
      </c>
      <c r="R200">
        <v>1</v>
      </c>
    </row>
    <row r="201" spans="1:18" x14ac:dyDescent="0.35">
      <c r="A201" t="s">
        <v>433</v>
      </c>
      <c r="B201" s="1">
        <v>2023</v>
      </c>
      <c r="C201">
        <v>387108</v>
      </c>
      <c r="D201">
        <v>0</v>
      </c>
      <c r="E201">
        <v>0</v>
      </c>
      <c r="F201">
        <v>0</v>
      </c>
      <c r="G201">
        <v>0</v>
      </c>
      <c r="H201">
        <v>0</v>
      </c>
      <c r="I201">
        <v>2210697</v>
      </c>
      <c r="J201">
        <v>0</v>
      </c>
      <c r="K201">
        <v>0</v>
      </c>
      <c r="L201">
        <v>0</v>
      </c>
      <c r="M201">
        <v>0</v>
      </c>
      <c r="N201">
        <v>0</v>
      </c>
      <c r="O201">
        <v>664612</v>
      </c>
      <c r="P201">
        <v>0</v>
      </c>
      <c r="Q201">
        <v>0</v>
      </c>
      <c r="R201">
        <v>2</v>
      </c>
    </row>
    <row r="202" spans="1:18" x14ac:dyDescent="0.35">
      <c r="A202" t="s">
        <v>645</v>
      </c>
      <c r="B202" s="1">
        <v>2023</v>
      </c>
      <c r="C202">
        <v>235546</v>
      </c>
      <c r="D202">
        <v>0</v>
      </c>
      <c r="E202">
        <v>0</v>
      </c>
      <c r="F202">
        <v>0</v>
      </c>
      <c r="G202">
        <v>0</v>
      </c>
      <c r="H202">
        <v>0</v>
      </c>
      <c r="I202">
        <v>272661</v>
      </c>
      <c r="J202" t="s">
        <v>420</v>
      </c>
      <c r="K202" t="s">
        <v>420</v>
      </c>
      <c r="L202" t="s">
        <v>420</v>
      </c>
      <c r="M202" t="s">
        <v>420</v>
      </c>
      <c r="N202" t="s">
        <v>420</v>
      </c>
      <c r="O202" t="s">
        <v>420</v>
      </c>
      <c r="P202" t="s">
        <v>420</v>
      </c>
      <c r="Q202" t="s">
        <v>420</v>
      </c>
      <c r="R202">
        <v>1</v>
      </c>
    </row>
    <row r="203" spans="1:18" x14ac:dyDescent="0.35">
      <c r="A203" t="s">
        <v>446</v>
      </c>
      <c r="B203" s="1">
        <v>2023</v>
      </c>
      <c r="C203">
        <v>186000</v>
      </c>
      <c r="D203">
        <v>0</v>
      </c>
      <c r="E203">
        <v>0</v>
      </c>
      <c r="F203">
        <v>0</v>
      </c>
      <c r="G203">
        <v>0</v>
      </c>
      <c r="H203">
        <v>0</v>
      </c>
      <c r="I203">
        <v>313848</v>
      </c>
      <c r="J203" t="s">
        <v>420</v>
      </c>
      <c r="K203" t="s">
        <v>420</v>
      </c>
      <c r="L203" t="s">
        <v>420</v>
      </c>
      <c r="M203" t="s">
        <v>420</v>
      </c>
      <c r="N203" t="s">
        <v>420</v>
      </c>
      <c r="O203" t="s">
        <v>420</v>
      </c>
      <c r="P203" t="s">
        <v>420</v>
      </c>
      <c r="Q203" t="s">
        <v>420</v>
      </c>
      <c r="R203">
        <v>2</v>
      </c>
    </row>
    <row r="204" spans="1:18" x14ac:dyDescent="0.35">
      <c r="A204" t="s">
        <v>561</v>
      </c>
      <c r="B204" s="1">
        <v>2023</v>
      </c>
      <c r="C204">
        <v>129781</v>
      </c>
      <c r="D204">
        <v>7210</v>
      </c>
      <c r="E204">
        <v>0</v>
      </c>
      <c r="F204">
        <v>0</v>
      </c>
      <c r="G204">
        <v>0</v>
      </c>
      <c r="H204">
        <v>0</v>
      </c>
      <c r="I204">
        <v>266226</v>
      </c>
      <c r="J204" t="s">
        <v>420</v>
      </c>
      <c r="K204" t="s">
        <v>420</v>
      </c>
      <c r="L204" t="s">
        <v>420</v>
      </c>
      <c r="M204" t="s">
        <v>420</v>
      </c>
      <c r="N204" t="s">
        <v>420</v>
      </c>
      <c r="O204" t="s">
        <v>420</v>
      </c>
      <c r="P204" t="s">
        <v>420</v>
      </c>
      <c r="Q204" t="s">
        <v>420</v>
      </c>
      <c r="R204">
        <v>1</v>
      </c>
    </row>
    <row r="205" spans="1:18" x14ac:dyDescent="0.35">
      <c r="A205" t="s">
        <v>621</v>
      </c>
      <c r="B205" s="1">
        <v>2023</v>
      </c>
      <c r="C205">
        <v>122600</v>
      </c>
      <c r="D205">
        <v>0</v>
      </c>
      <c r="E205">
        <v>0</v>
      </c>
      <c r="F205">
        <v>0</v>
      </c>
      <c r="G205">
        <v>0</v>
      </c>
      <c r="H205">
        <v>0</v>
      </c>
      <c r="I205">
        <v>253966</v>
      </c>
      <c r="J205" t="s">
        <v>420</v>
      </c>
      <c r="K205" t="s">
        <v>420</v>
      </c>
      <c r="L205" t="s">
        <v>420</v>
      </c>
      <c r="M205" t="s">
        <v>420</v>
      </c>
      <c r="N205" t="s">
        <v>420</v>
      </c>
      <c r="O205" t="s">
        <v>420</v>
      </c>
      <c r="P205" t="s">
        <v>420</v>
      </c>
      <c r="Q205" t="s">
        <v>420</v>
      </c>
      <c r="R205">
        <v>1</v>
      </c>
    </row>
    <row r="206" spans="1:18" x14ac:dyDescent="0.35">
      <c r="A206" t="s">
        <v>542</v>
      </c>
      <c r="B206" s="1">
        <v>2023</v>
      </c>
      <c r="C206">
        <v>97284</v>
      </c>
      <c r="D206">
        <v>0</v>
      </c>
      <c r="E206">
        <v>0</v>
      </c>
      <c r="F206">
        <v>0</v>
      </c>
      <c r="G206">
        <v>0</v>
      </c>
      <c r="H206">
        <v>0</v>
      </c>
      <c r="I206">
        <v>278661</v>
      </c>
      <c r="J206" t="s">
        <v>420</v>
      </c>
      <c r="K206" t="s">
        <v>420</v>
      </c>
      <c r="L206" t="s">
        <v>420</v>
      </c>
      <c r="M206" t="s">
        <v>420</v>
      </c>
      <c r="N206" t="s">
        <v>420</v>
      </c>
      <c r="O206" t="s">
        <v>420</v>
      </c>
      <c r="P206" t="s">
        <v>420</v>
      </c>
      <c r="Q206" t="s">
        <v>420</v>
      </c>
      <c r="R206">
        <v>1</v>
      </c>
    </row>
    <row r="207" spans="1:18" x14ac:dyDescent="0.35">
      <c r="A207" t="s">
        <v>595</v>
      </c>
      <c r="B207" s="1">
        <v>2023</v>
      </c>
      <c r="C207">
        <v>696246</v>
      </c>
      <c r="D207">
        <v>61000</v>
      </c>
      <c r="E207">
        <v>0</v>
      </c>
      <c r="F207">
        <v>0</v>
      </c>
      <c r="G207">
        <v>27050</v>
      </c>
      <c r="H207">
        <v>0</v>
      </c>
      <c r="I207">
        <v>1525413</v>
      </c>
      <c r="J207" t="s">
        <v>420</v>
      </c>
      <c r="K207" t="s">
        <v>420</v>
      </c>
      <c r="L207" t="s">
        <v>420</v>
      </c>
      <c r="M207" t="s">
        <v>420</v>
      </c>
      <c r="N207" t="s">
        <v>420</v>
      </c>
      <c r="O207" t="s">
        <v>420</v>
      </c>
      <c r="P207" t="s">
        <v>420</v>
      </c>
      <c r="Q207" t="s">
        <v>420</v>
      </c>
      <c r="R207">
        <v>1</v>
      </c>
    </row>
    <row r="208" spans="1:18" x14ac:dyDescent="0.35">
      <c r="A208" t="s">
        <v>504</v>
      </c>
      <c r="B208" s="1">
        <v>2023</v>
      </c>
      <c r="C208">
        <v>2947607</v>
      </c>
      <c r="D208">
        <v>140235</v>
      </c>
      <c r="E208">
        <v>173790</v>
      </c>
      <c r="F208">
        <v>0</v>
      </c>
      <c r="G208">
        <v>173790</v>
      </c>
      <c r="H208">
        <v>0</v>
      </c>
      <c r="I208">
        <v>9478607</v>
      </c>
      <c r="J208">
        <v>140235</v>
      </c>
      <c r="K208" t="s">
        <v>420</v>
      </c>
      <c r="L208" t="s">
        <v>420</v>
      </c>
      <c r="M208" t="s">
        <v>420</v>
      </c>
      <c r="N208" t="s">
        <v>420</v>
      </c>
      <c r="O208">
        <v>10208214</v>
      </c>
      <c r="P208">
        <v>0</v>
      </c>
      <c r="Q208">
        <v>0</v>
      </c>
      <c r="R208">
        <v>1</v>
      </c>
    </row>
    <row r="209" spans="1:18" x14ac:dyDescent="0.35">
      <c r="A209" t="s">
        <v>625</v>
      </c>
      <c r="B209" s="1">
        <v>2023</v>
      </c>
      <c r="C209">
        <v>124196</v>
      </c>
      <c r="D209">
        <v>0</v>
      </c>
      <c r="E209">
        <v>11952</v>
      </c>
      <c r="F209">
        <v>0</v>
      </c>
      <c r="G209">
        <v>18444</v>
      </c>
      <c r="H209">
        <v>0</v>
      </c>
      <c r="I209">
        <v>279915</v>
      </c>
      <c r="J209" t="s">
        <v>420</v>
      </c>
      <c r="K209" t="s">
        <v>420</v>
      </c>
      <c r="L209" t="s">
        <v>420</v>
      </c>
      <c r="M209" t="s">
        <v>420</v>
      </c>
      <c r="N209" t="s">
        <v>420</v>
      </c>
      <c r="O209" t="s">
        <v>420</v>
      </c>
      <c r="P209" t="s">
        <v>420</v>
      </c>
      <c r="Q209" t="s">
        <v>420</v>
      </c>
      <c r="R209">
        <v>1</v>
      </c>
    </row>
    <row r="210" spans="1:18" x14ac:dyDescent="0.35">
      <c r="A210" t="s">
        <v>500</v>
      </c>
      <c r="B210" s="1">
        <v>2023</v>
      </c>
      <c r="C210">
        <v>51751</v>
      </c>
      <c r="D210">
        <v>10156</v>
      </c>
      <c r="E210">
        <v>4300</v>
      </c>
      <c r="F210">
        <v>0</v>
      </c>
      <c r="G210">
        <v>78469</v>
      </c>
      <c r="H210">
        <v>0</v>
      </c>
      <c r="I210">
        <v>272199</v>
      </c>
      <c r="J210" t="s">
        <v>420</v>
      </c>
      <c r="K210" t="s">
        <v>420</v>
      </c>
      <c r="L210" t="s">
        <v>420</v>
      </c>
      <c r="M210" t="s">
        <v>420</v>
      </c>
      <c r="N210" t="s">
        <v>420</v>
      </c>
      <c r="O210" t="s">
        <v>420</v>
      </c>
      <c r="P210" t="s">
        <v>420</v>
      </c>
      <c r="Q210" t="s">
        <v>420</v>
      </c>
      <c r="R210">
        <v>2</v>
      </c>
    </row>
    <row r="211" spans="1:18" x14ac:dyDescent="0.35">
      <c r="A211" t="s">
        <v>481</v>
      </c>
      <c r="B211" s="1">
        <v>2023</v>
      </c>
      <c r="C211">
        <v>14155</v>
      </c>
      <c r="D211">
        <v>0</v>
      </c>
      <c r="E211">
        <v>0</v>
      </c>
      <c r="F211">
        <v>0</v>
      </c>
      <c r="G211">
        <v>0</v>
      </c>
      <c r="H211">
        <v>0</v>
      </c>
      <c r="I211">
        <v>1425635</v>
      </c>
      <c r="J211" t="s">
        <v>420</v>
      </c>
      <c r="K211" t="s">
        <v>420</v>
      </c>
      <c r="L211" t="s">
        <v>420</v>
      </c>
      <c r="M211" t="s">
        <v>420</v>
      </c>
      <c r="N211" t="s">
        <v>420</v>
      </c>
      <c r="O211" t="s">
        <v>420</v>
      </c>
      <c r="P211" t="s">
        <v>420</v>
      </c>
      <c r="Q211" t="s">
        <v>420</v>
      </c>
      <c r="R211">
        <v>2</v>
      </c>
    </row>
    <row r="212" spans="1:18" x14ac:dyDescent="0.35">
      <c r="A212" t="s">
        <v>609</v>
      </c>
      <c r="B212" s="1">
        <v>2023</v>
      </c>
      <c r="C212">
        <v>210111</v>
      </c>
      <c r="D212">
        <v>0</v>
      </c>
      <c r="E212">
        <v>49</v>
      </c>
      <c r="F212">
        <v>0</v>
      </c>
      <c r="G212">
        <v>0</v>
      </c>
      <c r="H212">
        <v>0</v>
      </c>
      <c r="I212">
        <v>329886</v>
      </c>
      <c r="J212" t="s">
        <v>420</v>
      </c>
      <c r="K212" t="s">
        <v>420</v>
      </c>
      <c r="L212" t="s">
        <v>420</v>
      </c>
      <c r="M212" t="s">
        <v>420</v>
      </c>
      <c r="N212" t="s">
        <v>420</v>
      </c>
      <c r="O212" t="s">
        <v>420</v>
      </c>
      <c r="P212" t="s">
        <v>420</v>
      </c>
      <c r="Q212" t="s">
        <v>420</v>
      </c>
      <c r="R212">
        <v>1</v>
      </c>
    </row>
    <row r="213" spans="1:18" x14ac:dyDescent="0.35">
      <c r="A213" t="s">
        <v>612</v>
      </c>
      <c r="B213" s="1">
        <v>2023</v>
      </c>
      <c r="C213">
        <v>224207</v>
      </c>
      <c r="D213">
        <v>0</v>
      </c>
      <c r="E213">
        <v>0</v>
      </c>
      <c r="F213">
        <v>0</v>
      </c>
      <c r="G213">
        <v>14206</v>
      </c>
      <c r="H213">
        <v>0</v>
      </c>
      <c r="I213">
        <v>570817</v>
      </c>
      <c r="J213" t="s">
        <v>420</v>
      </c>
      <c r="K213" t="s">
        <v>420</v>
      </c>
      <c r="L213" t="s">
        <v>420</v>
      </c>
      <c r="M213" t="s">
        <v>420</v>
      </c>
      <c r="N213" t="s">
        <v>420</v>
      </c>
      <c r="O213" t="s">
        <v>420</v>
      </c>
      <c r="P213" t="s">
        <v>420</v>
      </c>
      <c r="Q213" t="s">
        <v>420</v>
      </c>
      <c r="R213">
        <v>1</v>
      </c>
    </row>
    <row r="214" spans="1:18" x14ac:dyDescent="0.35">
      <c r="A214" t="s">
        <v>488</v>
      </c>
      <c r="B214" s="1">
        <v>2023</v>
      </c>
      <c r="C214">
        <v>146261</v>
      </c>
      <c r="D214">
        <v>0</v>
      </c>
      <c r="E214">
        <v>0</v>
      </c>
      <c r="F214">
        <v>0</v>
      </c>
      <c r="G214">
        <v>0</v>
      </c>
      <c r="H214">
        <v>0</v>
      </c>
      <c r="I214">
        <v>298350</v>
      </c>
      <c r="J214" t="s">
        <v>420</v>
      </c>
      <c r="K214" t="s">
        <v>420</v>
      </c>
      <c r="L214" t="s">
        <v>420</v>
      </c>
      <c r="M214" t="s">
        <v>420</v>
      </c>
      <c r="N214" t="s">
        <v>420</v>
      </c>
      <c r="O214" t="s">
        <v>420</v>
      </c>
      <c r="P214" t="s">
        <v>420</v>
      </c>
      <c r="Q214" t="s">
        <v>420</v>
      </c>
      <c r="R214">
        <v>2</v>
      </c>
    </row>
    <row r="215" spans="1:18" x14ac:dyDescent="0.35">
      <c r="A215" t="s">
        <v>445</v>
      </c>
      <c r="B215" s="1">
        <v>2023</v>
      </c>
      <c r="C215" t="s">
        <v>420</v>
      </c>
      <c r="D215" t="s">
        <v>420</v>
      </c>
      <c r="E215" t="s">
        <v>420</v>
      </c>
      <c r="F215" t="s">
        <v>420</v>
      </c>
      <c r="G215" t="s">
        <v>420</v>
      </c>
      <c r="H215" t="s">
        <v>420</v>
      </c>
      <c r="I215" t="s">
        <v>420</v>
      </c>
      <c r="J215" t="s">
        <v>420</v>
      </c>
      <c r="K215" t="s">
        <v>420</v>
      </c>
      <c r="L215" t="s">
        <v>420</v>
      </c>
      <c r="M215" t="s">
        <v>420</v>
      </c>
      <c r="N215" t="s">
        <v>420</v>
      </c>
      <c r="O215" t="s">
        <v>420</v>
      </c>
      <c r="P215" t="s">
        <v>420</v>
      </c>
      <c r="Q215" t="s">
        <v>420</v>
      </c>
      <c r="R215">
        <v>2</v>
      </c>
    </row>
    <row r="216" spans="1:18" x14ac:dyDescent="0.35">
      <c r="A216" t="s">
        <v>543</v>
      </c>
      <c r="B216" s="1">
        <v>2023</v>
      </c>
      <c r="C216">
        <v>480444</v>
      </c>
      <c r="D216">
        <v>19122</v>
      </c>
      <c r="E216">
        <v>368</v>
      </c>
      <c r="F216">
        <v>0</v>
      </c>
      <c r="G216">
        <v>1494</v>
      </c>
      <c r="H216">
        <v>0</v>
      </c>
      <c r="I216">
        <v>1008055</v>
      </c>
      <c r="J216">
        <v>19122</v>
      </c>
      <c r="K216">
        <v>0</v>
      </c>
      <c r="L216">
        <v>0</v>
      </c>
      <c r="M216">
        <v>0</v>
      </c>
      <c r="N216">
        <v>0</v>
      </c>
      <c r="O216">
        <v>1072278</v>
      </c>
      <c r="P216" t="s">
        <v>420</v>
      </c>
      <c r="Q216" t="s">
        <v>420</v>
      </c>
      <c r="R216">
        <v>1</v>
      </c>
    </row>
    <row r="217" spans="1:18" x14ac:dyDescent="0.35">
      <c r="A217" t="s">
        <v>611</v>
      </c>
      <c r="B217" s="1">
        <v>2023</v>
      </c>
      <c r="C217">
        <v>1014929</v>
      </c>
      <c r="D217">
        <v>56000</v>
      </c>
      <c r="E217">
        <v>922</v>
      </c>
      <c r="F217">
        <v>0</v>
      </c>
      <c r="G217">
        <v>43842</v>
      </c>
      <c r="H217">
        <v>0</v>
      </c>
      <c r="I217">
        <v>2304434</v>
      </c>
      <c r="J217">
        <v>56000</v>
      </c>
      <c r="K217">
        <v>0</v>
      </c>
      <c r="L217">
        <v>0</v>
      </c>
      <c r="M217">
        <v>0</v>
      </c>
      <c r="N217">
        <v>0</v>
      </c>
      <c r="O217">
        <v>2465073</v>
      </c>
      <c r="P217">
        <v>0</v>
      </c>
      <c r="Q217">
        <v>0</v>
      </c>
      <c r="R217">
        <v>1</v>
      </c>
    </row>
    <row r="218" spans="1:18" x14ac:dyDescent="0.35">
      <c r="A218" t="s">
        <v>519</v>
      </c>
      <c r="B218" s="1">
        <v>2023</v>
      </c>
      <c r="C218" t="s">
        <v>420</v>
      </c>
      <c r="D218" t="s">
        <v>420</v>
      </c>
      <c r="E218" t="s">
        <v>420</v>
      </c>
      <c r="F218" t="s">
        <v>420</v>
      </c>
      <c r="G218" t="s">
        <v>420</v>
      </c>
      <c r="H218" t="s">
        <v>420</v>
      </c>
      <c r="I218" t="s">
        <v>420</v>
      </c>
      <c r="J218" t="s">
        <v>420</v>
      </c>
      <c r="K218" t="s">
        <v>420</v>
      </c>
      <c r="L218" t="s">
        <v>420</v>
      </c>
      <c r="M218" t="s">
        <v>420</v>
      </c>
      <c r="N218" t="s">
        <v>420</v>
      </c>
      <c r="O218" t="s">
        <v>420</v>
      </c>
      <c r="P218" t="s">
        <v>420</v>
      </c>
      <c r="Q218" t="s">
        <v>420</v>
      </c>
      <c r="R218">
        <v>1</v>
      </c>
    </row>
    <row r="219" spans="1:18" x14ac:dyDescent="0.35">
      <c r="A219" t="s">
        <v>577</v>
      </c>
      <c r="B219" s="1">
        <v>2023</v>
      </c>
      <c r="C219">
        <v>1560339</v>
      </c>
      <c r="D219">
        <v>31118</v>
      </c>
      <c r="E219">
        <v>0</v>
      </c>
      <c r="F219">
        <v>0</v>
      </c>
      <c r="G219">
        <v>0</v>
      </c>
      <c r="H219">
        <v>0</v>
      </c>
      <c r="I219">
        <v>3297381</v>
      </c>
      <c r="J219">
        <v>31118</v>
      </c>
      <c r="K219">
        <v>0</v>
      </c>
      <c r="L219">
        <v>0</v>
      </c>
      <c r="M219">
        <v>0</v>
      </c>
      <c r="N219">
        <v>0</v>
      </c>
      <c r="O219">
        <v>3580737</v>
      </c>
      <c r="P219">
        <v>0</v>
      </c>
      <c r="Q219">
        <v>0</v>
      </c>
      <c r="R219">
        <v>1</v>
      </c>
    </row>
    <row r="220" spans="1:18" x14ac:dyDescent="0.35">
      <c r="A220" t="s">
        <v>638</v>
      </c>
      <c r="B220" s="1">
        <v>2023</v>
      </c>
      <c r="C220">
        <v>51494</v>
      </c>
      <c r="D220">
        <v>0</v>
      </c>
      <c r="E220">
        <v>0</v>
      </c>
      <c r="F220">
        <v>0</v>
      </c>
      <c r="G220">
        <v>0</v>
      </c>
      <c r="H220">
        <v>0</v>
      </c>
      <c r="I220">
        <v>58792</v>
      </c>
      <c r="J220">
        <v>0</v>
      </c>
      <c r="K220">
        <v>0</v>
      </c>
      <c r="L220">
        <v>0</v>
      </c>
      <c r="M220">
        <v>0</v>
      </c>
      <c r="N220">
        <v>0</v>
      </c>
      <c r="O220">
        <v>66674</v>
      </c>
      <c r="P220">
        <v>0</v>
      </c>
      <c r="Q220">
        <v>0</v>
      </c>
      <c r="R220">
        <v>1</v>
      </c>
    </row>
    <row r="221" spans="1:18" x14ac:dyDescent="0.35">
      <c r="A221" t="s">
        <v>560</v>
      </c>
      <c r="B221" s="1">
        <v>2023</v>
      </c>
      <c r="C221">
        <v>188983</v>
      </c>
      <c r="D221">
        <v>0</v>
      </c>
      <c r="E221">
        <v>0</v>
      </c>
      <c r="F221">
        <v>0</v>
      </c>
      <c r="G221">
        <v>2619</v>
      </c>
      <c r="H221">
        <v>0</v>
      </c>
      <c r="I221">
        <v>373571</v>
      </c>
      <c r="J221" t="s">
        <v>420</v>
      </c>
      <c r="K221" t="s">
        <v>420</v>
      </c>
      <c r="L221" t="s">
        <v>420</v>
      </c>
      <c r="M221" t="s">
        <v>420</v>
      </c>
      <c r="N221" t="s">
        <v>420</v>
      </c>
      <c r="O221" t="s">
        <v>420</v>
      </c>
      <c r="P221" t="s">
        <v>420</v>
      </c>
      <c r="Q221" t="s">
        <v>420</v>
      </c>
      <c r="R221">
        <v>1</v>
      </c>
    </row>
    <row r="222" spans="1:18" x14ac:dyDescent="0.35">
      <c r="A222" t="s">
        <v>575</v>
      </c>
      <c r="B222" s="1">
        <v>2023</v>
      </c>
      <c r="C222">
        <v>255319</v>
      </c>
      <c r="D222">
        <v>0</v>
      </c>
      <c r="E222">
        <v>0</v>
      </c>
      <c r="F222">
        <v>0</v>
      </c>
      <c r="G222">
        <v>0</v>
      </c>
      <c r="H222">
        <v>0</v>
      </c>
      <c r="I222">
        <v>576965</v>
      </c>
      <c r="J222" t="s">
        <v>420</v>
      </c>
      <c r="K222" t="s">
        <v>420</v>
      </c>
      <c r="L222" t="s">
        <v>420</v>
      </c>
      <c r="M222" t="s">
        <v>420</v>
      </c>
      <c r="N222" t="s">
        <v>420</v>
      </c>
      <c r="O222" t="s">
        <v>420</v>
      </c>
      <c r="P222" t="s">
        <v>420</v>
      </c>
      <c r="Q222" t="s">
        <v>420</v>
      </c>
      <c r="R222">
        <v>1</v>
      </c>
    </row>
    <row r="223" spans="1:18" x14ac:dyDescent="0.35">
      <c r="A223" t="s">
        <v>517</v>
      </c>
      <c r="B223" s="1">
        <v>2023</v>
      </c>
      <c r="C223">
        <v>164953</v>
      </c>
      <c r="D223">
        <v>0</v>
      </c>
      <c r="E223">
        <v>0</v>
      </c>
      <c r="F223">
        <v>0</v>
      </c>
      <c r="G223">
        <v>0</v>
      </c>
      <c r="H223">
        <v>0</v>
      </c>
      <c r="I223">
        <v>193617</v>
      </c>
      <c r="J223" t="s">
        <v>420</v>
      </c>
      <c r="K223" t="s">
        <v>420</v>
      </c>
      <c r="L223" t="s">
        <v>420</v>
      </c>
      <c r="M223" t="s">
        <v>420</v>
      </c>
      <c r="N223" t="s">
        <v>420</v>
      </c>
      <c r="O223" t="s">
        <v>420</v>
      </c>
      <c r="P223" t="s">
        <v>420</v>
      </c>
      <c r="Q223" t="s">
        <v>420</v>
      </c>
      <c r="R223">
        <v>1</v>
      </c>
    </row>
    <row r="224" spans="1:18" x14ac:dyDescent="0.35">
      <c r="A224" t="s">
        <v>617</v>
      </c>
      <c r="B224" s="1">
        <v>2023</v>
      </c>
      <c r="C224">
        <v>122519</v>
      </c>
      <c r="D224">
        <v>0</v>
      </c>
      <c r="E224">
        <v>0</v>
      </c>
      <c r="F224">
        <v>0</v>
      </c>
      <c r="G224">
        <v>0</v>
      </c>
      <c r="H224">
        <v>0</v>
      </c>
      <c r="I224">
        <v>217820</v>
      </c>
      <c r="J224" t="s">
        <v>420</v>
      </c>
      <c r="K224" t="s">
        <v>420</v>
      </c>
      <c r="L224" t="s">
        <v>420</v>
      </c>
      <c r="M224" t="s">
        <v>420</v>
      </c>
      <c r="N224" t="s">
        <v>420</v>
      </c>
      <c r="O224" t="s">
        <v>420</v>
      </c>
      <c r="P224" t="s">
        <v>420</v>
      </c>
      <c r="Q224" t="s">
        <v>420</v>
      </c>
      <c r="R224">
        <v>1</v>
      </c>
    </row>
    <row r="225" spans="1:18" x14ac:dyDescent="0.35">
      <c r="A225" t="s">
        <v>497</v>
      </c>
      <c r="B225" s="1">
        <v>2023</v>
      </c>
      <c r="C225">
        <v>721031</v>
      </c>
      <c r="D225">
        <v>0</v>
      </c>
      <c r="E225">
        <v>0</v>
      </c>
      <c r="F225">
        <v>0</v>
      </c>
      <c r="G225">
        <v>41612</v>
      </c>
      <c r="H225">
        <v>0</v>
      </c>
      <c r="I225">
        <v>1073818</v>
      </c>
      <c r="J225" t="s">
        <v>420</v>
      </c>
      <c r="K225" t="s">
        <v>420</v>
      </c>
      <c r="L225" t="s">
        <v>420</v>
      </c>
      <c r="M225" t="s">
        <v>420</v>
      </c>
      <c r="N225" t="s">
        <v>420</v>
      </c>
      <c r="O225" t="s">
        <v>420</v>
      </c>
      <c r="P225" t="s">
        <v>420</v>
      </c>
      <c r="Q225" t="s">
        <v>420</v>
      </c>
      <c r="R225">
        <v>2</v>
      </c>
    </row>
    <row r="226" spans="1:18" x14ac:dyDescent="0.35">
      <c r="A226" t="s">
        <v>642</v>
      </c>
      <c r="B226" s="1">
        <v>2023</v>
      </c>
      <c r="C226">
        <v>175905</v>
      </c>
      <c r="D226">
        <v>15</v>
      </c>
      <c r="E226">
        <v>0</v>
      </c>
      <c r="F226">
        <v>0</v>
      </c>
      <c r="G226">
        <v>0</v>
      </c>
      <c r="H226">
        <v>0</v>
      </c>
      <c r="I226">
        <v>292855</v>
      </c>
      <c r="J226" t="s">
        <v>420</v>
      </c>
      <c r="K226" t="s">
        <v>420</v>
      </c>
      <c r="L226" t="s">
        <v>420</v>
      </c>
      <c r="M226" t="s">
        <v>420</v>
      </c>
      <c r="N226" t="s">
        <v>420</v>
      </c>
      <c r="O226" t="s">
        <v>420</v>
      </c>
      <c r="P226" t="s">
        <v>420</v>
      </c>
      <c r="Q226" t="s">
        <v>420</v>
      </c>
      <c r="R226">
        <v>1</v>
      </c>
    </row>
    <row r="227" spans="1:18" x14ac:dyDescent="0.35">
      <c r="A227" t="s">
        <v>616</v>
      </c>
      <c r="B227" s="1">
        <v>2023</v>
      </c>
      <c r="C227" t="s">
        <v>420</v>
      </c>
      <c r="D227" t="s">
        <v>420</v>
      </c>
      <c r="E227" t="s">
        <v>420</v>
      </c>
      <c r="F227" t="s">
        <v>420</v>
      </c>
      <c r="G227" t="s">
        <v>420</v>
      </c>
      <c r="H227" t="s">
        <v>420</v>
      </c>
      <c r="I227" t="s">
        <v>420</v>
      </c>
      <c r="J227" t="s">
        <v>420</v>
      </c>
      <c r="K227" t="s">
        <v>420</v>
      </c>
      <c r="L227" t="s">
        <v>420</v>
      </c>
      <c r="M227" t="s">
        <v>420</v>
      </c>
      <c r="N227" t="s">
        <v>420</v>
      </c>
      <c r="O227" t="s">
        <v>420</v>
      </c>
      <c r="P227" t="s">
        <v>420</v>
      </c>
      <c r="Q227" t="s">
        <v>420</v>
      </c>
      <c r="R227">
        <v>1</v>
      </c>
    </row>
    <row r="228" spans="1:18" x14ac:dyDescent="0.35">
      <c r="A228" t="s">
        <v>523</v>
      </c>
      <c r="B228" s="1">
        <v>2023</v>
      </c>
      <c r="C228">
        <v>102531</v>
      </c>
      <c r="D228">
        <v>103336</v>
      </c>
      <c r="E228">
        <v>0</v>
      </c>
      <c r="F228">
        <v>0</v>
      </c>
      <c r="G228">
        <v>0</v>
      </c>
      <c r="H228">
        <v>0</v>
      </c>
      <c r="I228">
        <v>131745</v>
      </c>
      <c r="J228" t="s">
        <v>420</v>
      </c>
      <c r="K228" t="s">
        <v>420</v>
      </c>
      <c r="L228" t="s">
        <v>420</v>
      </c>
      <c r="M228" t="s">
        <v>420</v>
      </c>
      <c r="N228" t="s">
        <v>420</v>
      </c>
      <c r="O228" t="s">
        <v>420</v>
      </c>
      <c r="P228" t="s">
        <v>420</v>
      </c>
      <c r="Q228" t="s">
        <v>420</v>
      </c>
      <c r="R228">
        <v>1</v>
      </c>
    </row>
    <row r="229" spans="1:18" x14ac:dyDescent="0.35">
      <c r="A229" t="s">
        <v>558</v>
      </c>
      <c r="B229" s="1">
        <v>2023</v>
      </c>
      <c r="C229">
        <v>348660</v>
      </c>
      <c r="D229">
        <v>0</v>
      </c>
      <c r="E229">
        <v>0</v>
      </c>
      <c r="F229">
        <v>0</v>
      </c>
      <c r="G229">
        <v>0</v>
      </c>
      <c r="H229">
        <v>0</v>
      </c>
      <c r="I229">
        <v>723255</v>
      </c>
      <c r="J229" t="s">
        <v>420</v>
      </c>
      <c r="K229" t="s">
        <v>420</v>
      </c>
      <c r="L229" t="s">
        <v>420</v>
      </c>
      <c r="M229" t="s">
        <v>420</v>
      </c>
      <c r="N229" t="s">
        <v>420</v>
      </c>
      <c r="O229" t="s">
        <v>420</v>
      </c>
      <c r="P229" t="s">
        <v>420</v>
      </c>
      <c r="Q229" t="s">
        <v>420</v>
      </c>
      <c r="R229">
        <v>1</v>
      </c>
    </row>
    <row r="230" spans="1:18" x14ac:dyDescent="0.35">
      <c r="A230" t="s">
        <v>620</v>
      </c>
      <c r="B230" s="1">
        <v>2023</v>
      </c>
      <c r="C230" t="s">
        <v>420</v>
      </c>
      <c r="D230" t="s">
        <v>420</v>
      </c>
      <c r="E230" t="s">
        <v>420</v>
      </c>
      <c r="F230" t="s">
        <v>420</v>
      </c>
      <c r="G230" t="s">
        <v>420</v>
      </c>
      <c r="H230" t="s">
        <v>420</v>
      </c>
      <c r="I230" t="s">
        <v>420</v>
      </c>
      <c r="J230" t="s">
        <v>420</v>
      </c>
      <c r="K230" t="s">
        <v>420</v>
      </c>
      <c r="L230" t="s">
        <v>420</v>
      </c>
      <c r="M230" t="s">
        <v>420</v>
      </c>
      <c r="N230" t="s">
        <v>420</v>
      </c>
      <c r="O230" t="s">
        <v>420</v>
      </c>
      <c r="P230" t="s">
        <v>420</v>
      </c>
      <c r="Q230" t="s">
        <v>420</v>
      </c>
      <c r="R230">
        <v>1</v>
      </c>
    </row>
    <row r="231" spans="1:18" x14ac:dyDescent="0.35">
      <c r="A231" t="s">
        <v>624</v>
      </c>
      <c r="B231" s="1">
        <v>2023</v>
      </c>
      <c r="C231">
        <v>229378</v>
      </c>
      <c r="D231">
        <v>3775</v>
      </c>
      <c r="E231">
        <v>9882</v>
      </c>
      <c r="F231">
        <v>0</v>
      </c>
      <c r="G231">
        <v>31446</v>
      </c>
      <c r="H231">
        <v>0</v>
      </c>
      <c r="I231">
        <v>476198</v>
      </c>
      <c r="J231" t="s">
        <v>420</v>
      </c>
      <c r="K231" t="s">
        <v>420</v>
      </c>
      <c r="L231" t="s">
        <v>420</v>
      </c>
      <c r="M231" t="s">
        <v>420</v>
      </c>
      <c r="N231" t="s">
        <v>420</v>
      </c>
      <c r="O231" t="s">
        <v>420</v>
      </c>
      <c r="P231" t="s">
        <v>420</v>
      </c>
      <c r="Q231" t="s">
        <v>420</v>
      </c>
      <c r="R231">
        <v>1</v>
      </c>
    </row>
    <row r="232" spans="1:18" x14ac:dyDescent="0.35">
      <c r="A232" t="s">
        <v>614</v>
      </c>
      <c r="B232" s="1">
        <v>2023</v>
      </c>
      <c r="C232">
        <v>2991686</v>
      </c>
      <c r="D232">
        <v>431000</v>
      </c>
      <c r="E232">
        <v>0</v>
      </c>
      <c r="F232">
        <v>0</v>
      </c>
      <c r="G232">
        <v>0</v>
      </c>
      <c r="H232">
        <v>0</v>
      </c>
      <c r="I232">
        <v>6792206</v>
      </c>
      <c r="J232">
        <v>431000</v>
      </c>
      <c r="K232">
        <v>0</v>
      </c>
      <c r="L232">
        <v>0</v>
      </c>
      <c r="M232">
        <v>0</v>
      </c>
      <c r="N232">
        <v>0</v>
      </c>
      <c r="O232">
        <v>7283444</v>
      </c>
      <c r="P232">
        <v>0</v>
      </c>
      <c r="Q232">
        <v>0</v>
      </c>
      <c r="R232">
        <v>1</v>
      </c>
    </row>
    <row r="233" spans="1:18" x14ac:dyDescent="0.35">
      <c r="A233" t="s">
        <v>636</v>
      </c>
      <c r="B233" s="1">
        <v>2023</v>
      </c>
      <c r="C233">
        <v>166698</v>
      </c>
      <c r="D233">
        <v>2355</v>
      </c>
      <c r="E233">
        <v>0</v>
      </c>
      <c r="F233">
        <v>0</v>
      </c>
      <c r="G233">
        <v>0</v>
      </c>
      <c r="H233">
        <v>0</v>
      </c>
      <c r="I233">
        <v>317437</v>
      </c>
      <c r="J233" t="s">
        <v>420</v>
      </c>
      <c r="K233" t="s">
        <v>420</v>
      </c>
      <c r="L233" t="s">
        <v>420</v>
      </c>
      <c r="M233" t="s">
        <v>420</v>
      </c>
      <c r="N233" t="s">
        <v>420</v>
      </c>
      <c r="O233" t="s">
        <v>420</v>
      </c>
      <c r="P233" t="s">
        <v>420</v>
      </c>
      <c r="Q233" t="s">
        <v>420</v>
      </c>
      <c r="R233">
        <v>1</v>
      </c>
    </row>
    <row r="234" spans="1:18" x14ac:dyDescent="0.35">
      <c r="A234" t="s">
        <v>584</v>
      </c>
      <c r="B234" s="1">
        <v>2023</v>
      </c>
      <c r="C234">
        <v>7408247</v>
      </c>
      <c r="D234">
        <v>234435</v>
      </c>
      <c r="E234">
        <v>0</v>
      </c>
      <c r="F234">
        <v>0</v>
      </c>
      <c r="G234">
        <v>20000</v>
      </c>
      <c r="H234">
        <v>0</v>
      </c>
      <c r="I234">
        <v>14071548</v>
      </c>
      <c r="J234">
        <v>234435</v>
      </c>
      <c r="K234">
        <v>0</v>
      </c>
      <c r="L234">
        <v>0</v>
      </c>
      <c r="M234">
        <v>0</v>
      </c>
      <c r="N234">
        <v>0</v>
      </c>
      <c r="O234">
        <v>15638764</v>
      </c>
      <c r="P234" t="s">
        <v>420</v>
      </c>
      <c r="Q234" t="s">
        <v>420</v>
      </c>
      <c r="R234">
        <v>1</v>
      </c>
    </row>
    <row r="235" spans="1:18" x14ac:dyDescent="0.35">
      <c r="A235" t="s">
        <v>635</v>
      </c>
      <c r="B235" s="1">
        <v>2023</v>
      </c>
      <c r="C235">
        <v>235654</v>
      </c>
      <c r="D235">
        <v>34621</v>
      </c>
      <c r="E235">
        <v>0</v>
      </c>
      <c r="F235">
        <v>0</v>
      </c>
      <c r="G235">
        <v>0</v>
      </c>
      <c r="H235">
        <v>0</v>
      </c>
      <c r="I235">
        <v>449316</v>
      </c>
      <c r="J235" t="s">
        <v>420</v>
      </c>
      <c r="K235" t="s">
        <v>420</v>
      </c>
      <c r="L235" t="s">
        <v>420</v>
      </c>
      <c r="M235" t="s">
        <v>420</v>
      </c>
      <c r="N235" t="s">
        <v>420</v>
      </c>
      <c r="O235" t="s">
        <v>420</v>
      </c>
      <c r="P235" t="s">
        <v>420</v>
      </c>
      <c r="Q235" t="s">
        <v>420</v>
      </c>
      <c r="R235">
        <v>1</v>
      </c>
    </row>
    <row r="236" spans="1:18" x14ac:dyDescent="0.35">
      <c r="B236" s="1"/>
    </row>
    <row r="237" spans="1:18" x14ac:dyDescent="0.35">
      <c r="B237" s="1"/>
    </row>
  </sheetData>
  <sheetProtection algorithmName="SHA-512" hashValue="YaTNhs2dEqtXSCNIG/fCe1wo9GSD5RbvmAZJnv5za4okpVVd7Zup9RO5nyXdDrMo4C/rqF/aLnC2sthGqtoEQA==" saltValue="HRkPWfHM4HAM+KWmEooB6g==" spinCount="100000" sheet="1" objects="1" scenarios="1"/>
  <sortState xmlns:xlrd2="http://schemas.microsoft.com/office/spreadsheetml/2017/richdata2" ref="A6:A235">
    <sortCondition ref="A6:A235"/>
  </sortState>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B71CA-34D5-47B5-90EF-440B2AF64291}">
  <sheetPr codeName="Sheet12">
    <tabColor theme="0" tint="-0.499984740745262"/>
  </sheetPr>
  <dimension ref="A1:S105"/>
  <sheetViews>
    <sheetView workbookViewId="0"/>
  </sheetViews>
  <sheetFormatPr defaultRowHeight="14.5" x14ac:dyDescent="0.35"/>
  <cols>
    <col min="1" max="1" width="41.453125" bestFit="1" customWidth="1"/>
    <col min="2" max="15" width="15.54296875" customWidth="1"/>
  </cols>
  <sheetData>
    <row r="1" spans="1:19" ht="72.5" x14ac:dyDescent="0.35">
      <c r="B1" s="9" t="s">
        <v>387</v>
      </c>
      <c r="C1" s="120" t="s">
        <v>649</v>
      </c>
      <c r="D1" s="120" t="s">
        <v>650</v>
      </c>
      <c r="E1" s="120" t="s">
        <v>651</v>
      </c>
      <c r="F1" s="120" t="s">
        <v>652</v>
      </c>
      <c r="G1" s="120" t="s">
        <v>1378</v>
      </c>
      <c r="H1" s="120" t="s">
        <v>1379</v>
      </c>
      <c r="I1" s="120" t="s">
        <v>653</v>
      </c>
      <c r="J1" s="120" t="s">
        <v>40</v>
      </c>
      <c r="K1" s="2" t="s">
        <v>44</v>
      </c>
      <c r="L1" s="2" t="s">
        <v>393</v>
      </c>
      <c r="M1" s="2" t="s">
        <v>52</v>
      </c>
      <c r="N1" s="2" t="s">
        <v>394</v>
      </c>
      <c r="O1" s="270" t="s">
        <v>398</v>
      </c>
    </row>
    <row r="2" spans="1:19" x14ac:dyDescent="0.35">
      <c r="C2" t="s">
        <v>266</v>
      </c>
      <c r="D2" t="s">
        <v>266</v>
      </c>
      <c r="E2" t="s">
        <v>266</v>
      </c>
      <c r="F2" t="s">
        <v>266</v>
      </c>
      <c r="G2" t="s">
        <v>266</v>
      </c>
      <c r="H2" t="s">
        <v>266</v>
      </c>
      <c r="I2" t="s">
        <v>399</v>
      </c>
      <c r="J2" t="s">
        <v>266</v>
      </c>
      <c r="K2" t="s">
        <v>266</v>
      </c>
      <c r="L2" t="s">
        <v>266</v>
      </c>
      <c r="M2" t="s">
        <v>266</v>
      </c>
      <c r="N2" t="s">
        <v>266</v>
      </c>
    </row>
    <row r="3" spans="1:19" x14ac:dyDescent="0.35">
      <c r="C3" t="s">
        <v>400</v>
      </c>
      <c r="D3" t="s">
        <v>400</v>
      </c>
      <c r="E3" t="s">
        <v>400</v>
      </c>
      <c r="F3" t="s">
        <v>400</v>
      </c>
      <c r="G3" t="s">
        <v>400</v>
      </c>
      <c r="H3" t="s">
        <v>400</v>
      </c>
      <c r="I3" t="s">
        <v>401</v>
      </c>
      <c r="J3" t="s">
        <v>402</v>
      </c>
      <c r="K3" t="s">
        <v>402</v>
      </c>
      <c r="L3" t="s">
        <v>402</v>
      </c>
      <c r="M3" t="s">
        <v>402</v>
      </c>
      <c r="N3" t="s">
        <v>402</v>
      </c>
      <c r="O3" t="s">
        <v>402</v>
      </c>
    </row>
    <row r="4" spans="1:19" x14ac:dyDescent="0.35">
      <c r="C4" t="s">
        <v>654</v>
      </c>
      <c r="D4" t="s">
        <v>655</v>
      </c>
      <c r="E4" t="s">
        <v>656</v>
      </c>
      <c r="F4" t="s">
        <v>657</v>
      </c>
      <c r="G4" t="s">
        <v>1374</v>
      </c>
      <c r="H4" t="s">
        <v>1375</v>
      </c>
      <c r="I4" t="s">
        <v>658</v>
      </c>
      <c r="J4" t="s">
        <v>659</v>
      </c>
      <c r="K4" t="s">
        <v>660</v>
      </c>
      <c r="L4" t="s">
        <v>661</v>
      </c>
      <c r="M4" t="s">
        <v>662</v>
      </c>
      <c r="N4" t="s">
        <v>663</v>
      </c>
      <c r="O4" t="s">
        <v>416</v>
      </c>
      <c r="R4" t="s">
        <v>418</v>
      </c>
      <c r="S4" s="3" t="s">
        <v>664</v>
      </c>
    </row>
    <row r="5" spans="1:19" x14ac:dyDescent="0.35">
      <c r="A5" t="s">
        <v>1388</v>
      </c>
      <c r="O5">
        <v>1</v>
      </c>
      <c r="R5" t="s">
        <v>655</v>
      </c>
      <c r="S5" t="s">
        <v>666</v>
      </c>
    </row>
    <row r="6" spans="1:19" x14ac:dyDescent="0.35">
      <c r="A6" t="s">
        <v>739</v>
      </c>
      <c r="B6">
        <v>2023</v>
      </c>
      <c r="C6" s="271">
        <v>5042973</v>
      </c>
      <c r="D6">
        <v>0</v>
      </c>
      <c r="E6" s="271">
        <v>0</v>
      </c>
      <c r="F6" s="271">
        <v>0</v>
      </c>
      <c r="G6" s="271">
        <v>0</v>
      </c>
      <c r="H6" s="271">
        <v>0</v>
      </c>
      <c r="I6" s="271">
        <v>3234000</v>
      </c>
      <c r="J6" s="271">
        <v>0</v>
      </c>
      <c r="K6" s="271">
        <v>0</v>
      </c>
      <c r="L6" s="271">
        <v>0</v>
      </c>
      <c r="M6" s="271">
        <v>0</v>
      </c>
      <c r="N6" s="271">
        <v>0</v>
      </c>
      <c r="O6" s="271">
        <v>1</v>
      </c>
    </row>
    <row r="7" spans="1:19" x14ac:dyDescent="0.35">
      <c r="A7" t="s">
        <v>724</v>
      </c>
      <c r="B7">
        <v>2023</v>
      </c>
      <c r="C7" s="271">
        <v>2041514</v>
      </c>
      <c r="D7">
        <v>0</v>
      </c>
      <c r="E7" s="271">
        <v>0</v>
      </c>
      <c r="F7" s="271">
        <v>0</v>
      </c>
      <c r="G7" s="271">
        <v>0</v>
      </c>
      <c r="H7" s="271">
        <v>0</v>
      </c>
      <c r="I7" s="271">
        <v>2426295</v>
      </c>
      <c r="J7" s="271">
        <v>0</v>
      </c>
      <c r="K7" s="271">
        <v>0</v>
      </c>
      <c r="L7" s="271">
        <v>0</v>
      </c>
      <c r="M7" s="271">
        <v>0</v>
      </c>
      <c r="N7" s="271">
        <v>0</v>
      </c>
      <c r="O7" s="271">
        <v>1</v>
      </c>
    </row>
    <row r="8" spans="1:19" x14ac:dyDescent="0.35">
      <c r="A8" t="s">
        <v>719</v>
      </c>
      <c r="B8">
        <v>2023</v>
      </c>
      <c r="C8" s="271">
        <v>1243823</v>
      </c>
      <c r="D8">
        <v>0</v>
      </c>
      <c r="E8" s="271">
        <v>0</v>
      </c>
      <c r="F8" s="271">
        <v>0</v>
      </c>
      <c r="G8" s="271">
        <v>0</v>
      </c>
      <c r="H8" s="271">
        <v>0</v>
      </c>
      <c r="I8" s="271">
        <v>1618454</v>
      </c>
      <c r="J8" s="271">
        <v>0</v>
      </c>
      <c r="K8" s="271">
        <v>0</v>
      </c>
      <c r="L8" s="271">
        <v>0</v>
      </c>
      <c r="M8" s="271">
        <v>0</v>
      </c>
      <c r="N8" s="271">
        <v>0</v>
      </c>
      <c r="O8" s="271">
        <v>1</v>
      </c>
    </row>
    <row r="9" spans="1:19" x14ac:dyDescent="0.35">
      <c r="A9" t="s">
        <v>731</v>
      </c>
      <c r="B9">
        <v>2023</v>
      </c>
      <c r="C9" s="271">
        <v>417845</v>
      </c>
      <c r="D9">
        <v>7100</v>
      </c>
      <c r="E9" s="271">
        <v>0</v>
      </c>
      <c r="F9" s="271">
        <v>0</v>
      </c>
      <c r="G9" s="271">
        <v>0</v>
      </c>
      <c r="H9" s="271">
        <v>0</v>
      </c>
      <c r="I9" s="271">
        <v>1368837</v>
      </c>
      <c r="J9" s="271">
        <v>7100</v>
      </c>
      <c r="K9" s="271">
        <v>0</v>
      </c>
      <c r="L9" s="271">
        <v>0</v>
      </c>
      <c r="M9" s="271">
        <v>0</v>
      </c>
      <c r="N9" s="271">
        <v>0</v>
      </c>
      <c r="O9" s="271">
        <v>1</v>
      </c>
    </row>
    <row r="10" spans="1:19" x14ac:dyDescent="0.35">
      <c r="A10" t="s">
        <v>665</v>
      </c>
      <c r="B10">
        <v>2023</v>
      </c>
      <c r="C10" s="271" t="s">
        <v>420</v>
      </c>
      <c r="D10">
        <v>0</v>
      </c>
      <c r="E10" s="271" t="s">
        <v>420</v>
      </c>
      <c r="F10" s="271" t="s">
        <v>420</v>
      </c>
      <c r="G10" s="271" t="s">
        <v>420</v>
      </c>
      <c r="H10" s="271" t="s">
        <v>420</v>
      </c>
      <c r="I10" s="271" t="s">
        <v>420</v>
      </c>
      <c r="J10" s="271" t="s">
        <v>420</v>
      </c>
      <c r="K10" s="271" t="s">
        <v>420</v>
      </c>
      <c r="L10" s="271" t="s">
        <v>420</v>
      </c>
      <c r="M10" s="271" t="s">
        <v>420</v>
      </c>
      <c r="N10" s="271" t="s">
        <v>420</v>
      </c>
      <c r="O10" s="271">
        <v>2</v>
      </c>
    </row>
    <row r="11" spans="1:19" x14ac:dyDescent="0.35">
      <c r="A11" t="s">
        <v>675</v>
      </c>
      <c r="B11">
        <v>2023</v>
      </c>
      <c r="C11" s="271">
        <v>436884</v>
      </c>
      <c r="D11">
        <v>0</v>
      </c>
      <c r="E11" s="271">
        <v>0</v>
      </c>
      <c r="F11" s="271">
        <v>0</v>
      </c>
      <c r="G11" s="271">
        <v>0</v>
      </c>
      <c r="H11" s="271">
        <v>0</v>
      </c>
      <c r="I11" s="271">
        <v>13237435</v>
      </c>
      <c r="J11" s="271" t="s">
        <v>420</v>
      </c>
      <c r="K11" s="271" t="s">
        <v>420</v>
      </c>
      <c r="L11" s="271" t="s">
        <v>420</v>
      </c>
      <c r="M11" s="271" t="s">
        <v>420</v>
      </c>
      <c r="N11" s="271" t="s">
        <v>420</v>
      </c>
      <c r="O11" s="271">
        <v>2</v>
      </c>
    </row>
    <row r="12" spans="1:19" x14ac:dyDescent="0.35">
      <c r="A12" t="s">
        <v>722</v>
      </c>
      <c r="B12">
        <v>2023</v>
      </c>
      <c r="C12" s="271">
        <v>5710645</v>
      </c>
      <c r="D12">
        <v>0</v>
      </c>
      <c r="E12" s="271">
        <v>0</v>
      </c>
      <c r="F12" s="271">
        <v>0</v>
      </c>
      <c r="G12" s="271">
        <v>0</v>
      </c>
      <c r="H12" s="271">
        <v>0</v>
      </c>
      <c r="I12" s="271">
        <v>4463555</v>
      </c>
      <c r="J12" s="271" t="s">
        <v>420</v>
      </c>
      <c r="K12" s="271" t="s">
        <v>420</v>
      </c>
      <c r="L12" s="271" t="s">
        <v>420</v>
      </c>
      <c r="M12" s="271" t="s">
        <v>420</v>
      </c>
      <c r="N12" s="271" t="s">
        <v>420</v>
      </c>
      <c r="O12" s="271">
        <v>1</v>
      </c>
    </row>
    <row r="13" spans="1:19" x14ac:dyDescent="0.35">
      <c r="A13" t="s">
        <v>700</v>
      </c>
      <c r="B13">
        <v>2023</v>
      </c>
      <c r="C13" s="271">
        <v>1439220</v>
      </c>
      <c r="D13">
        <v>0</v>
      </c>
      <c r="E13" s="271">
        <v>0</v>
      </c>
      <c r="F13" s="271">
        <v>0</v>
      </c>
      <c r="G13" s="271">
        <v>0</v>
      </c>
      <c r="H13" s="271">
        <v>0</v>
      </c>
      <c r="I13" s="271">
        <v>1641524</v>
      </c>
      <c r="J13" s="271">
        <v>0</v>
      </c>
      <c r="K13" s="271">
        <v>0</v>
      </c>
      <c r="L13" s="271">
        <v>0</v>
      </c>
      <c r="M13" s="271">
        <v>0</v>
      </c>
      <c r="N13" s="271">
        <v>0</v>
      </c>
      <c r="O13" s="271">
        <v>2</v>
      </c>
    </row>
    <row r="14" spans="1:19" x14ac:dyDescent="0.35">
      <c r="A14" t="s">
        <v>748</v>
      </c>
      <c r="B14">
        <v>2023</v>
      </c>
      <c r="C14" s="271">
        <v>650705</v>
      </c>
      <c r="D14">
        <v>0</v>
      </c>
      <c r="E14" s="271">
        <v>0</v>
      </c>
      <c r="F14" s="271">
        <v>0</v>
      </c>
      <c r="G14" s="271">
        <v>0</v>
      </c>
      <c r="H14" s="271">
        <v>0</v>
      </c>
      <c r="I14" s="271">
        <v>1183603</v>
      </c>
      <c r="J14" s="271">
        <v>0</v>
      </c>
      <c r="K14" s="271">
        <v>0</v>
      </c>
      <c r="L14" s="271">
        <v>0</v>
      </c>
      <c r="M14" s="271">
        <v>0</v>
      </c>
      <c r="N14" s="271">
        <v>0</v>
      </c>
      <c r="O14" s="271">
        <v>1</v>
      </c>
    </row>
    <row r="15" spans="1:19" x14ac:dyDescent="0.35">
      <c r="A15" t="s">
        <v>727</v>
      </c>
      <c r="B15">
        <v>2023</v>
      </c>
      <c r="C15" s="271">
        <v>2918656</v>
      </c>
      <c r="D15">
        <v>0</v>
      </c>
      <c r="E15" s="271">
        <v>0</v>
      </c>
      <c r="F15" s="271">
        <v>0</v>
      </c>
      <c r="G15" s="271">
        <v>0</v>
      </c>
      <c r="H15" s="271">
        <v>0</v>
      </c>
      <c r="I15" s="271">
        <v>8437112</v>
      </c>
      <c r="J15" s="271">
        <v>0</v>
      </c>
      <c r="K15" s="271">
        <v>0</v>
      </c>
      <c r="L15" s="271">
        <v>0</v>
      </c>
      <c r="M15" s="271">
        <v>0</v>
      </c>
      <c r="N15" s="271">
        <v>0</v>
      </c>
      <c r="O15" s="271">
        <v>1</v>
      </c>
    </row>
    <row r="16" spans="1:19" x14ac:dyDescent="0.35">
      <c r="A16" t="s">
        <v>743</v>
      </c>
      <c r="B16">
        <v>2023</v>
      </c>
      <c r="C16" s="271">
        <v>5422850</v>
      </c>
      <c r="D16">
        <v>0</v>
      </c>
      <c r="E16" s="271">
        <v>0</v>
      </c>
      <c r="F16" s="271">
        <v>0</v>
      </c>
      <c r="G16" s="271">
        <v>0</v>
      </c>
      <c r="H16" s="271">
        <v>0</v>
      </c>
      <c r="I16" s="271">
        <v>3731868</v>
      </c>
      <c r="J16" s="271">
        <v>0</v>
      </c>
      <c r="K16" s="271">
        <v>0</v>
      </c>
      <c r="L16" s="271">
        <v>0</v>
      </c>
      <c r="M16" s="271">
        <v>0</v>
      </c>
      <c r="N16" s="271">
        <v>0</v>
      </c>
      <c r="O16" s="271">
        <v>1</v>
      </c>
    </row>
    <row r="17" spans="1:15" x14ac:dyDescent="0.35">
      <c r="A17" t="s">
        <v>548</v>
      </c>
      <c r="B17">
        <v>2023</v>
      </c>
      <c r="C17" s="271">
        <v>103786</v>
      </c>
      <c r="D17">
        <v>0</v>
      </c>
      <c r="E17" s="271">
        <v>0</v>
      </c>
      <c r="F17" s="271">
        <v>0</v>
      </c>
      <c r="G17" s="271">
        <v>0</v>
      </c>
      <c r="H17" s="271">
        <v>0</v>
      </c>
      <c r="I17" s="271">
        <v>169029</v>
      </c>
      <c r="J17" s="271" t="s">
        <v>420</v>
      </c>
      <c r="K17" s="271" t="s">
        <v>420</v>
      </c>
      <c r="L17" s="271" t="s">
        <v>420</v>
      </c>
      <c r="M17" s="271" t="s">
        <v>420</v>
      </c>
      <c r="N17" s="271" t="s">
        <v>420</v>
      </c>
      <c r="O17" s="271">
        <v>1</v>
      </c>
    </row>
    <row r="18" spans="1:15" x14ac:dyDescent="0.35">
      <c r="A18" t="s">
        <v>740</v>
      </c>
      <c r="B18">
        <v>2023</v>
      </c>
      <c r="C18" s="271">
        <v>744370</v>
      </c>
      <c r="D18">
        <v>0</v>
      </c>
      <c r="E18" s="271">
        <v>0</v>
      </c>
      <c r="F18" s="271">
        <v>0</v>
      </c>
      <c r="G18" s="271">
        <v>0</v>
      </c>
      <c r="H18" s="271">
        <v>0</v>
      </c>
      <c r="I18" s="271">
        <v>1775238</v>
      </c>
      <c r="J18" s="271">
        <v>0</v>
      </c>
      <c r="K18" s="271">
        <v>0</v>
      </c>
      <c r="L18" s="271">
        <v>0</v>
      </c>
      <c r="M18" s="271">
        <v>0</v>
      </c>
      <c r="N18" s="271">
        <v>0</v>
      </c>
      <c r="O18" s="271">
        <v>1</v>
      </c>
    </row>
    <row r="19" spans="1:15" x14ac:dyDescent="0.35">
      <c r="A19" t="s">
        <v>711</v>
      </c>
      <c r="B19">
        <v>2023</v>
      </c>
      <c r="C19" s="271">
        <v>424430</v>
      </c>
      <c r="D19">
        <v>0</v>
      </c>
      <c r="E19" s="271">
        <v>0</v>
      </c>
      <c r="F19" s="271">
        <v>0</v>
      </c>
      <c r="G19" s="271">
        <v>0</v>
      </c>
      <c r="H19" s="271">
        <v>0</v>
      </c>
      <c r="I19" s="271">
        <v>1326934</v>
      </c>
      <c r="J19" s="271">
        <v>0</v>
      </c>
      <c r="K19" s="271">
        <v>0</v>
      </c>
      <c r="L19" s="271">
        <v>0</v>
      </c>
      <c r="M19" s="271">
        <v>0</v>
      </c>
      <c r="N19" s="271">
        <v>0</v>
      </c>
      <c r="O19" s="271">
        <v>2</v>
      </c>
    </row>
    <row r="20" spans="1:15" x14ac:dyDescent="0.35">
      <c r="A20" t="s">
        <v>718</v>
      </c>
      <c r="B20">
        <v>2023</v>
      </c>
      <c r="C20" s="271">
        <v>3066389</v>
      </c>
      <c r="D20">
        <v>0</v>
      </c>
      <c r="E20" s="271">
        <v>0</v>
      </c>
      <c r="F20" s="271">
        <v>0</v>
      </c>
      <c r="G20" s="271">
        <v>0</v>
      </c>
      <c r="H20" s="271">
        <v>33610</v>
      </c>
      <c r="I20" s="271">
        <v>2240281</v>
      </c>
      <c r="J20" s="271">
        <v>0</v>
      </c>
      <c r="K20" s="271">
        <v>0</v>
      </c>
      <c r="L20" s="271">
        <v>0</v>
      </c>
      <c r="M20" s="271">
        <v>0</v>
      </c>
      <c r="N20" s="271">
        <v>0</v>
      </c>
      <c r="O20" s="271">
        <v>1</v>
      </c>
    </row>
    <row r="21" spans="1:15" x14ac:dyDescent="0.35">
      <c r="A21" t="s">
        <v>705</v>
      </c>
      <c r="B21">
        <v>2023</v>
      </c>
      <c r="C21" s="271">
        <v>1133778</v>
      </c>
      <c r="D21">
        <v>0</v>
      </c>
      <c r="E21" s="271">
        <v>0</v>
      </c>
      <c r="F21" s="271">
        <v>0</v>
      </c>
      <c r="G21" s="271">
        <v>0</v>
      </c>
      <c r="H21" s="271">
        <v>0</v>
      </c>
      <c r="I21" s="271">
        <v>2979995</v>
      </c>
      <c r="J21" s="271">
        <v>0</v>
      </c>
      <c r="K21" s="271">
        <v>0</v>
      </c>
      <c r="L21" s="271">
        <v>0</v>
      </c>
      <c r="M21" s="271">
        <v>0</v>
      </c>
      <c r="N21" s="271">
        <v>0</v>
      </c>
      <c r="O21" s="271">
        <v>2</v>
      </c>
    </row>
    <row r="22" spans="1:15" x14ac:dyDescent="0.35">
      <c r="A22" t="s">
        <v>706</v>
      </c>
      <c r="B22">
        <v>2023</v>
      </c>
      <c r="C22" s="271">
        <v>533140</v>
      </c>
      <c r="D22">
        <v>0</v>
      </c>
      <c r="E22" s="271">
        <v>0</v>
      </c>
      <c r="F22" s="271">
        <v>0</v>
      </c>
      <c r="G22" s="271">
        <v>0</v>
      </c>
      <c r="H22" s="271">
        <v>0</v>
      </c>
      <c r="I22" s="271">
        <v>1050016</v>
      </c>
      <c r="J22" s="271">
        <v>0</v>
      </c>
      <c r="K22" s="271">
        <v>0</v>
      </c>
      <c r="L22" s="271">
        <v>0</v>
      </c>
      <c r="M22" s="271">
        <v>0</v>
      </c>
      <c r="N22" s="271">
        <v>0</v>
      </c>
      <c r="O22" s="271">
        <v>2</v>
      </c>
    </row>
    <row r="23" spans="1:15" x14ac:dyDescent="0.35">
      <c r="A23" t="s">
        <v>701</v>
      </c>
      <c r="B23">
        <v>2023</v>
      </c>
      <c r="C23" s="271">
        <v>1801397</v>
      </c>
      <c r="D23">
        <v>0</v>
      </c>
      <c r="E23" s="271">
        <v>0</v>
      </c>
      <c r="F23" s="271">
        <v>0</v>
      </c>
      <c r="G23" s="271">
        <v>0</v>
      </c>
      <c r="H23" s="271">
        <v>0</v>
      </c>
      <c r="I23" s="271">
        <v>3923029</v>
      </c>
      <c r="J23" s="271">
        <v>0</v>
      </c>
      <c r="K23" s="271">
        <v>0</v>
      </c>
      <c r="L23" s="271">
        <v>0</v>
      </c>
      <c r="M23" s="271">
        <v>0</v>
      </c>
      <c r="N23" s="271">
        <v>0</v>
      </c>
      <c r="O23" s="271">
        <v>2</v>
      </c>
    </row>
    <row r="24" spans="1:15" x14ac:dyDescent="0.35">
      <c r="A24" t="s">
        <v>691</v>
      </c>
      <c r="B24">
        <v>2023</v>
      </c>
      <c r="C24" s="271">
        <v>707258</v>
      </c>
      <c r="D24">
        <v>90184</v>
      </c>
      <c r="E24" s="271">
        <v>0</v>
      </c>
      <c r="F24" s="271">
        <v>0</v>
      </c>
      <c r="G24" s="271">
        <v>0</v>
      </c>
      <c r="H24" s="271">
        <v>0</v>
      </c>
      <c r="I24" s="271">
        <v>2930348</v>
      </c>
      <c r="J24" s="271">
        <v>90184</v>
      </c>
      <c r="K24" s="271">
        <v>0</v>
      </c>
      <c r="L24" s="271">
        <v>0</v>
      </c>
      <c r="M24" s="271">
        <v>0</v>
      </c>
      <c r="N24" s="271">
        <v>0</v>
      </c>
      <c r="O24" s="271">
        <v>2</v>
      </c>
    </row>
    <row r="25" spans="1:15" x14ac:dyDescent="0.35">
      <c r="A25" t="s">
        <v>696</v>
      </c>
      <c r="B25">
        <v>2023</v>
      </c>
      <c r="C25" s="271">
        <v>525794</v>
      </c>
      <c r="D25">
        <v>11285</v>
      </c>
      <c r="E25" s="271">
        <v>0</v>
      </c>
      <c r="F25" s="271">
        <v>0</v>
      </c>
      <c r="G25" s="271">
        <v>0</v>
      </c>
      <c r="H25" s="271">
        <v>0</v>
      </c>
      <c r="I25" s="271">
        <v>1703863</v>
      </c>
      <c r="J25" s="271">
        <v>0</v>
      </c>
      <c r="K25" s="271">
        <v>11285</v>
      </c>
      <c r="L25" s="271">
        <v>0</v>
      </c>
      <c r="M25" s="271">
        <v>0</v>
      </c>
      <c r="N25" s="271">
        <v>0</v>
      </c>
      <c r="O25" s="271">
        <v>2</v>
      </c>
    </row>
    <row r="26" spans="1:15" x14ac:dyDescent="0.35">
      <c r="A26" t="s">
        <v>729</v>
      </c>
      <c r="B26">
        <v>2023</v>
      </c>
      <c r="C26" s="271">
        <v>965000</v>
      </c>
      <c r="D26">
        <v>0</v>
      </c>
      <c r="E26" s="271">
        <v>0</v>
      </c>
      <c r="F26" s="271">
        <v>0</v>
      </c>
      <c r="G26" s="271">
        <v>0</v>
      </c>
      <c r="H26" s="271">
        <v>0</v>
      </c>
      <c r="I26" s="271">
        <v>4588000</v>
      </c>
      <c r="J26" s="271">
        <v>0</v>
      </c>
      <c r="K26" s="271">
        <v>0</v>
      </c>
      <c r="L26" s="271">
        <v>0</v>
      </c>
      <c r="M26" s="271">
        <v>0</v>
      </c>
      <c r="N26" s="271">
        <v>0</v>
      </c>
      <c r="O26" s="271">
        <v>1</v>
      </c>
    </row>
    <row r="27" spans="1:15" x14ac:dyDescent="0.35">
      <c r="A27" t="s">
        <v>667</v>
      </c>
      <c r="B27">
        <v>2023</v>
      </c>
      <c r="C27" s="271">
        <v>565501</v>
      </c>
      <c r="D27">
        <v>0</v>
      </c>
      <c r="E27" s="271">
        <v>0</v>
      </c>
      <c r="F27" s="271">
        <v>0</v>
      </c>
      <c r="G27" s="271">
        <v>0</v>
      </c>
      <c r="H27" s="271">
        <v>0</v>
      </c>
      <c r="I27" s="271">
        <v>4741086</v>
      </c>
      <c r="J27" s="271">
        <v>0</v>
      </c>
      <c r="K27" s="271">
        <v>0</v>
      </c>
      <c r="L27" s="271">
        <v>0</v>
      </c>
      <c r="M27" s="271">
        <v>0</v>
      </c>
      <c r="N27" s="271">
        <v>0</v>
      </c>
      <c r="O27" s="271">
        <v>2</v>
      </c>
    </row>
    <row r="28" spans="1:15" x14ac:dyDescent="0.35">
      <c r="A28" t="s">
        <v>749</v>
      </c>
      <c r="B28">
        <v>2023</v>
      </c>
      <c r="C28" s="271">
        <v>1832163</v>
      </c>
      <c r="D28">
        <v>0</v>
      </c>
      <c r="E28" s="271">
        <v>0</v>
      </c>
      <c r="F28" s="271">
        <v>0</v>
      </c>
      <c r="G28" s="271">
        <v>0</v>
      </c>
      <c r="H28" s="271">
        <v>0</v>
      </c>
      <c r="I28" s="271">
        <v>3288717</v>
      </c>
      <c r="J28" s="271">
        <v>0</v>
      </c>
      <c r="K28" s="271">
        <v>0</v>
      </c>
      <c r="L28" s="271">
        <v>0</v>
      </c>
      <c r="M28" s="271">
        <v>0</v>
      </c>
      <c r="N28" s="271">
        <v>0</v>
      </c>
      <c r="O28" s="271">
        <v>1</v>
      </c>
    </row>
    <row r="29" spans="1:15" x14ac:dyDescent="0.35">
      <c r="A29" t="s">
        <v>669</v>
      </c>
      <c r="B29">
        <v>2023</v>
      </c>
      <c r="C29" s="271">
        <v>8500</v>
      </c>
      <c r="D29">
        <v>0</v>
      </c>
      <c r="E29" s="271">
        <v>0</v>
      </c>
      <c r="F29" s="271" t="s">
        <v>420</v>
      </c>
      <c r="G29" s="271">
        <v>0</v>
      </c>
      <c r="H29" s="271" t="s">
        <v>420</v>
      </c>
      <c r="I29" s="271">
        <v>1355213</v>
      </c>
      <c r="J29" s="271" t="s">
        <v>420</v>
      </c>
      <c r="K29" s="271" t="s">
        <v>420</v>
      </c>
      <c r="L29" s="271" t="s">
        <v>420</v>
      </c>
      <c r="M29" s="271" t="s">
        <v>420</v>
      </c>
      <c r="N29" s="271" t="s">
        <v>420</v>
      </c>
      <c r="O29" s="271">
        <v>2</v>
      </c>
    </row>
    <row r="30" spans="1:15" x14ac:dyDescent="0.35">
      <c r="A30" t="s">
        <v>692</v>
      </c>
      <c r="B30">
        <v>2023</v>
      </c>
      <c r="C30" s="271">
        <v>1940000</v>
      </c>
      <c r="D30">
        <v>104718</v>
      </c>
      <c r="E30" s="271">
        <v>0</v>
      </c>
      <c r="F30" s="271">
        <v>0</v>
      </c>
      <c r="G30" s="271">
        <v>0</v>
      </c>
      <c r="H30" s="271">
        <v>0</v>
      </c>
      <c r="I30" s="271">
        <v>1770266</v>
      </c>
      <c r="J30" s="271">
        <v>0</v>
      </c>
      <c r="K30" s="271">
        <v>60038</v>
      </c>
      <c r="L30" s="271">
        <v>44680</v>
      </c>
      <c r="M30" s="271">
        <v>0</v>
      </c>
      <c r="N30" s="271">
        <v>0</v>
      </c>
      <c r="O30" s="271">
        <v>2</v>
      </c>
    </row>
    <row r="31" spans="1:15" x14ac:dyDescent="0.35">
      <c r="A31" t="s">
        <v>714</v>
      </c>
      <c r="B31">
        <v>2023</v>
      </c>
      <c r="C31" s="271">
        <v>1706292</v>
      </c>
      <c r="D31">
        <v>0</v>
      </c>
      <c r="E31" s="271">
        <v>0</v>
      </c>
      <c r="F31" s="271">
        <v>0</v>
      </c>
      <c r="G31" s="271">
        <v>0</v>
      </c>
      <c r="H31" s="271">
        <v>0</v>
      </c>
      <c r="I31" s="271">
        <v>2588577</v>
      </c>
      <c r="J31" s="271" t="s">
        <v>420</v>
      </c>
      <c r="K31" s="271" t="s">
        <v>420</v>
      </c>
      <c r="L31" s="271" t="s">
        <v>420</v>
      </c>
      <c r="M31" s="271" t="s">
        <v>420</v>
      </c>
      <c r="N31" s="271" t="s">
        <v>420</v>
      </c>
      <c r="O31" s="271">
        <v>2</v>
      </c>
    </row>
    <row r="32" spans="1:15" x14ac:dyDescent="0.35">
      <c r="A32" t="s">
        <v>693</v>
      </c>
      <c r="B32">
        <v>2023</v>
      </c>
      <c r="C32" s="271">
        <v>1570030</v>
      </c>
      <c r="D32">
        <v>26526</v>
      </c>
      <c r="E32" s="271">
        <v>71518</v>
      </c>
      <c r="F32" s="271">
        <v>0</v>
      </c>
      <c r="G32" s="271">
        <v>99098</v>
      </c>
      <c r="H32" s="271">
        <v>0</v>
      </c>
      <c r="I32" s="271">
        <v>1269428</v>
      </c>
      <c r="J32" s="271">
        <v>26526</v>
      </c>
      <c r="K32" s="271">
        <v>0</v>
      </c>
      <c r="L32" s="271">
        <v>0</v>
      </c>
      <c r="M32" s="271">
        <v>0</v>
      </c>
      <c r="N32" s="271">
        <v>0</v>
      </c>
      <c r="O32" s="271">
        <v>2</v>
      </c>
    </row>
    <row r="33" spans="1:15" x14ac:dyDescent="0.35">
      <c r="A33" t="s">
        <v>742</v>
      </c>
      <c r="B33">
        <v>2023</v>
      </c>
      <c r="C33" s="271">
        <v>2106675</v>
      </c>
      <c r="D33">
        <v>145</v>
      </c>
      <c r="E33" s="271">
        <v>0</v>
      </c>
      <c r="F33" s="271">
        <v>0</v>
      </c>
      <c r="G33" s="271">
        <v>0</v>
      </c>
      <c r="H33" s="271">
        <v>0</v>
      </c>
      <c r="I33" s="271">
        <v>1821289</v>
      </c>
      <c r="J33" s="271">
        <v>0</v>
      </c>
      <c r="K33" s="271">
        <v>0</v>
      </c>
      <c r="L33" s="271">
        <v>0</v>
      </c>
      <c r="M33" s="271">
        <v>0</v>
      </c>
      <c r="N33" s="271">
        <v>145</v>
      </c>
      <c r="O33" s="271">
        <v>1</v>
      </c>
    </row>
    <row r="34" spans="1:15" x14ac:dyDescent="0.35">
      <c r="A34" t="s">
        <v>569</v>
      </c>
      <c r="B34">
        <v>2023</v>
      </c>
      <c r="C34" s="271">
        <v>1364767</v>
      </c>
      <c r="D34">
        <v>0</v>
      </c>
      <c r="E34" s="271">
        <v>0</v>
      </c>
      <c r="F34" s="271">
        <v>0</v>
      </c>
      <c r="G34" s="271">
        <v>0</v>
      </c>
      <c r="H34" s="271">
        <v>0</v>
      </c>
      <c r="I34" s="271">
        <v>3919466</v>
      </c>
      <c r="J34" s="271">
        <v>0</v>
      </c>
      <c r="K34" s="271">
        <v>0</v>
      </c>
      <c r="L34" s="271">
        <v>0</v>
      </c>
      <c r="M34" s="271">
        <v>0</v>
      </c>
      <c r="N34" s="271">
        <v>0</v>
      </c>
      <c r="O34" s="271">
        <v>1</v>
      </c>
    </row>
    <row r="35" spans="1:15" x14ac:dyDescent="0.35">
      <c r="A35" t="s">
        <v>694</v>
      </c>
      <c r="B35">
        <v>2023</v>
      </c>
      <c r="C35" s="271">
        <v>2332033</v>
      </c>
      <c r="D35">
        <v>171937</v>
      </c>
      <c r="E35" s="271">
        <v>0</v>
      </c>
      <c r="F35" s="271">
        <v>0</v>
      </c>
      <c r="G35" s="271">
        <v>0</v>
      </c>
      <c r="H35" s="271">
        <v>0</v>
      </c>
      <c r="I35" s="271">
        <v>2756751</v>
      </c>
      <c r="J35" s="271">
        <v>84299</v>
      </c>
      <c r="K35" s="271">
        <v>87638</v>
      </c>
      <c r="L35" s="271">
        <v>0</v>
      </c>
      <c r="M35" s="271">
        <v>0</v>
      </c>
      <c r="N35" s="271">
        <v>0</v>
      </c>
      <c r="O35" s="271">
        <v>2</v>
      </c>
    </row>
    <row r="36" spans="1:15" x14ac:dyDescent="0.35">
      <c r="A36" t="s">
        <v>643</v>
      </c>
      <c r="B36">
        <v>2023</v>
      </c>
      <c r="C36" s="271">
        <v>2318310</v>
      </c>
      <c r="D36">
        <v>0</v>
      </c>
      <c r="E36" s="271">
        <v>0</v>
      </c>
      <c r="F36" s="271">
        <v>0</v>
      </c>
      <c r="G36" s="271">
        <v>0</v>
      </c>
      <c r="H36" s="271">
        <v>0</v>
      </c>
      <c r="I36" s="271">
        <v>2978405</v>
      </c>
      <c r="J36" s="271">
        <v>0</v>
      </c>
      <c r="K36" s="271">
        <v>0</v>
      </c>
      <c r="L36" s="271">
        <v>0</v>
      </c>
      <c r="M36" s="271">
        <v>0</v>
      </c>
      <c r="N36" s="271">
        <v>0</v>
      </c>
      <c r="O36" s="271">
        <v>1</v>
      </c>
    </row>
    <row r="37" spans="1:15" x14ac:dyDescent="0.35">
      <c r="A37" t="s">
        <v>672</v>
      </c>
      <c r="B37">
        <v>2023</v>
      </c>
      <c r="C37" s="271">
        <v>9877</v>
      </c>
      <c r="D37">
        <v>0</v>
      </c>
      <c r="E37" s="271">
        <v>0</v>
      </c>
      <c r="F37" s="271">
        <v>0</v>
      </c>
      <c r="G37" s="271">
        <v>0</v>
      </c>
      <c r="H37" s="271">
        <v>0</v>
      </c>
      <c r="I37" s="271">
        <v>1143233</v>
      </c>
      <c r="J37" s="271">
        <v>0</v>
      </c>
      <c r="K37" s="271">
        <v>0</v>
      </c>
      <c r="L37" s="271">
        <v>0</v>
      </c>
      <c r="M37" s="271">
        <v>0</v>
      </c>
      <c r="N37" s="271">
        <v>0</v>
      </c>
      <c r="O37" s="271">
        <v>2</v>
      </c>
    </row>
    <row r="38" spans="1:15" x14ac:dyDescent="0.35">
      <c r="A38" t="s">
        <v>670</v>
      </c>
      <c r="B38">
        <v>2023</v>
      </c>
      <c r="C38" s="271">
        <v>42549</v>
      </c>
      <c r="D38">
        <v>0</v>
      </c>
      <c r="E38" s="271">
        <v>0</v>
      </c>
      <c r="F38" s="271">
        <v>0</v>
      </c>
      <c r="G38" s="271">
        <v>0</v>
      </c>
      <c r="H38" s="271">
        <v>0</v>
      </c>
      <c r="I38" s="271">
        <v>1763551</v>
      </c>
      <c r="J38" s="271">
        <v>0</v>
      </c>
      <c r="K38" s="271">
        <v>0</v>
      </c>
      <c r="L38" s="271">
        <v>0</v>
      </c>
      <c r="M38" s="271">
        <v>0</v>
      </c>
      <c r="N38" s="271">
        <v>0</v>
      </c>
      <c r="O38" s="271">
        <v>2</v>
      </c>
    </row>
    <row r="39" spans="1:15" x14ac:dyDescent="0.35">
      <c r="A39" t="s">
        <v>684</v>
      </c>
      <c r="B39">
        <v>2023</v>
      </c>
      <c r="C39" s="271">
        <v>279684</v>
      </c>
      <c r="D39">
        <v>0</v>
      </c>
      <c r="E39" s="271">
        <v>0</v>
      </c>
      <c r="F39" s="271">
        <v>0</v>
      </c>
      <c r="G39" s="271">
        <v>0</v>
      </c>
      <c r="H39" s="271">
        <v>0</v>
      </c>
      <c r="I39" s="271">
        <v>596314</v>
      </c>
      <c r="J39" s="271">
        <v>0</v>
      </c>
      <c r="K39" s="271">
        <v>0</v>
      </c>
      <c r="L39" s="271">
        <v>0</v>
      </c>
      <c r="M39" s="271">
        <v>0</v>
      </c>
      <c r="N39" s="271">
        <v>0</v>
      </c>
      <c r="O39" s="271">
        <v>2</v>
      </c>
    </row>
    <row r="40" spans="1:15" x14ac:dyDescent="0.35">
      <c r="A40" t="s">
        <v>680</v>
      </c>
      <c r="B40">
        <v>2023</v>
      </c>
      <c r="C40" s="271">
        <v>152485</v>
      </c>
      <c r="D40">
        <v>0</v>
      </c>
      <c r="E40" s="271">
        <v>0</v>
      </c>
      <c r="F40" s="271">
        <v>0</v>
      </c>
      <c r="G40" s="271">
        <v>0</v>
      </c>
      <c r="H40" s="271">
        <v>0</v>
      </c>
      <c r="I40" s="271">
        <v>1261404</v>
      </c>
      <c r="J40" s="271">
        <v>0</v>
      </c>
      <c r="K40" s="271">
        <v>0</v>
      </c>
      <c r="L40" s="271">
        <v>0</v>
      </c>
      <c r="M40" s="271">
        <v>0</v>
      </c>
      <c r="N40" s="271">
        <v>0</v>
      </c>
      <c r="O40" s="271">
        <v>2</v>
      </c>
    </row>
    <row r="41" spans="1:15" x14ac:dyDescent="0.35">
      <c r="A41" t="s">
        <v>676</v>
      </c>
      <c r="B41">
        <v>2023</v>
      </c>
      <c r="C41" s="271">
        <v>431804</v>
      </c>
      <c r="D41">
        <v>0</v>
      </c>
      <c r="E41" s="271">
        <v>0</v>
      </c>
      <c r="F41" s="271">
        <v>0</v>
      </c>
      <c r="G41" s="271">
        <v>0</v>
      </c>
      <c r="H41" s="271">
        <v>0</v>
      </c>
      <c r="I41" s="271">
        <v>2881172</v>
      </c>
      <c r="J41" s="271">
        <v>0</v>
      </c>
      <c r="K41" s="271">
        <v>0</v>
      </c>
      <c r="L41" s="271">
        <v>0</v>
      </c>
      <c r="M41" s="271">
        <v>0</v>
      </c>
      <c r="N41" s="271">
        <v>0</v>
      </c>
      <c r="O41" s="271">
        <v>2</v>
      </c>
    </row>
    <row r="42" spans="1:15" x14ac:dyDescent="0.35">
      <c r="A42" t="s">
        <v>668</v>
      </c>
      <c r="B42">
        <v>2023</v>
      </c>
      <c r="C42" s="271">
        <v>7067607</v>
      </c>
      <c r="D42">
        <v>914400</v>
      </c>
      <c r="E42" s="271">
        <v>0</v>
      </c>
      <c r="F42" s="271">
        <v>0</v>
      </c>
      <c r="G42" s="271">
        <v>44320</v>
      </c>
      <c r="H42" s="271">
        <v>0</v>
      </c>
      <c r="I42" s="271">
        <v>30610657</v>
      </c>
      <c r="J42" s="271">
        <v>914400</v>
      </c>
      <c r="K42" s="271">
        <v>0</v>
      </c>
      <c r="L42" s="271">
        <v>0</v>
      </c>
      <c r="M42" s="271">
        <v>0</v>
      </c>
      <c r="N42" s="271">
        <v>0</v>
      </c>
      <c r="O42" s="271">
        <v>2</v>
      </c>
    </row>
    <row r="43" spans="1:15" x14ac:dyDescent="0.35">
      <c r="A43" t="s">
        <v>671</v>
      </c>
      <c r="B43">
        <v>2023</v>
      </c>
      <c r="C43" s="271">
        <v>88949</v>
      </c>
      <c r="D43">
        <v>0</v>
      </c>
      <c r="E43" s="271">
        <v>0</v>
      </c>
      <c r="F43" s="271">
        <v>0</v>
      </c>
      <c r="G43" s="271">
        <v>0</v>
      </c>
      <c r="H43" s="271">
        <v>0</v>
      </c>
      <c r="I43" s="271">
        <v>1746251</v>
      </c>
      <c r="J43" s="271">
        <v>0</v>
      </c>
      <c r="K43" s="271">
        <v>0</v>
      </c>
      <c r="L43" s="271">
        <v>0</v>
      </c>
      <c r="M43" s="271">
        <v>0</v>
      </c>
      <c r="N43" s="271">
        <v>0</v>
      </c>
      <c r="O43" s="271">
        <v>2</v>
      </c>
    </row>
    <row r="44" spans="1:15" x14ac:dyDescent="0.35">
      <c r="A44" t="s">
        <v>677</v>
      </c>
      <c r="B44">
        <v>2023</v>
      </c>
      <c r="C44" s="271">
        <v>30114</v>
      </c>
      <c r="D44">
        <v>0</v>
      </c>
      <c r="E44" s="271">
        <v>0</v>
      </c>
      <c r="F44" s="271">
        <v>0</v>
      </c>
      <c r="G44" s="271">
        <v>0</v>
      </c>
      <c r="H44" s="271">
        <v>0</v>
      </c>
      <c r="I44" s="271">
        <v>627764</v>
      </c>
      <c r="J44" s="271">
        <v>0</v>
      </c>
      <c r="K44" s="271">
        <v>0</v>
      </c>
      <c r="L44" s="271">
        <v>0</v>
      </c>
      <c r="M44" s="271">
        <v>0</v>
      </c>
      <c r="N44" s="271">
        <v>0</v>
      </c>
      <c r="O44" s="271">
        <v>2</v>
      </c>
    </row>
    <row r="45" spans="1:15" x14ac:dyDescent="0.35">
      <c r="A45" t="s">
        <v>604</v>
      </c>
      <c r="B45">
        <v>2023</v>
      </c>
      <c r="C45" s="271">
        <v>1538512</v>
      </c>
      <c r="D45">
        <v>0</v>
      </c>
      <c r="E45" s="271">
        <v>0</v>
      </c>
      <c r="F45" s="271">
        <v>0</v>
      </c>
      <c r="G45" s="271">
        <v>0</v>
      </c>
      <c r="H45" s="271">
        <v>0</v>
      </c>
      <c r="I45" s="271">
        <v>5156688</v>
      </c>
      <c r="J45" s="271">
        <v>0</v>
      </c>
      <c r="K45" s="271">
        <v>0</v>
      </c>
      <c r="L45" s="271">
        <v>0</v>
      </c>
      <c r="M45" s="271">
        <v>0</v>
      </c>
      <c r="N45" s="271">
        <v>0</v>
      </c>
      <c r="O45" s="271">
        <v>1</v>
      </c>
    </row>
    <row r="46" spans="1:15" x14ac:dyDescent="0.35">
      <c r="A46" t="s">
        <v>673</v>
      </c>
      <c r="B46">
        <v>2023</v>
      </c>
      <c r="C46" s="271" t="s">
        <v>420</v>
      </c>
      <c r="D46" t="s">
        <v>420</v>
      </c>
      <c r="E46" s="271" t="s">
        <v>420</v>
      </c>
      <c r="F46" s="271" t="s">
        <v>420</v>
      </c>
      <c r="G46" s="271" t="s">
        <v>420</v>
      </c>
      <c r="H46" s="271" t="s">
        <v>420</v>
      </c>
      <c r="I46" s="271" t="s">
        <v>420</v>
      </c>
      <c r="J46" s="271" t="s">
        <v>420</v>
      </c>
      <c r="K46" s="271" t="s">
        <v>420</v>
      </c>
      <c r="L46" s="271" t="s">
        <v>420</v>
      </c>
      <c r="M46" s="271" t="s">
        <v>420</v>
      </c>
      <c r="N46" s="271" t="s">
        <v>420</v>
      </c>
      <c r="O46" s="271">
        <v>2</v>
      </c>
    </row>
    <row r="47" spans="1:15" x14ac:dyDescent="0.35">
      <c r="A47" t="s">
        <v>732</v>
      </c>
      <c r="B47">
        <v>2023</v>
      </c>
      <c r="C47" s="271">
        <v>1154972</v>
      </c>
      <c r="D47">
        <v>0</v>
      </c>
      <c r="E47" s="271">
        <v>0</v>
      </c>
      <c r="F47" s="271">
        <v>0</v>
      </c>
      <c r="G47" s="271">
        <v>0</v>
      </c>
      <c r="H47" s="271">
        <v>0</v>
      </c>
      <c r="I47" s="271">
        <v>1802398</v>
      </c>
      <c r="J47" s="271">
        <v>0</v>
      </c>
      <c r="K47" s="271">
        <v>0</v>
      </c>
      <c r="L47" s="271">
        <v>0</v>
      </c>
      <c r="M47" s="271">
        <v>0</v>
      </c>
      <c r="N47" s="271">
        <v>0</v>
      </c>
      <c r="O47" s="271">
        <v>1</v>
      </c>
    </row>
    <row r="48" spans="1:15" x14ac:dyDescent="0.35">
      <c r="A48" t="s">
        <v>674</v>
      </c>
      <c r="B48">
        <v>2023</v>
      </c>
      <c r="C48" s="271">
        <v>61602</v>
      </c>
      <c r="D48">
        <v>0</v>
      </c>
      <c r="E48" s="271">
        <v>0</v>
      </c>
      <c r="F48" s="271">
        <v>0</v>
      </c>
      <c r="G48" s="271">
        <v>0</v>
      </c>
      <c r="H48" s="271">
        <v>0</v>
      </c>
      <c r="I48" s="271">
        <v>1061289</v>
      </c>
      <c r="J48" s="271">
        <v>0</v>
      </c>
      <c r="K48" s="271">
        <v>0</v>
      </c>
      <c r="L48" s="271">
        <v>0</v>
      </c>
      <c r="M48" s="271">
        <v>0</v>
      </c>
      <c r="N48" s="271">
        <v>0</v>
      </c>
      <c r="O48" s="271">
        <v>2</v>
      </c>
    </row>
    <row r="49" spans="1:15" x14ac:dyDescent="0.35">
      <c r="A49" t="s">
        <v>627</v>
      </c>
      <c r="B49">
        <v>2023</v>
      </c>
      <c r="C49" s="271">
        <v>1362963</v>
      </c>
      <c r="D49">
        <v>0</v>
      </c>
      <c r="E49" s="271">
        <v>0</v>
      </c>
      <c r="F49" s="271">
        <v>0</v>
      </c>
      <c r="G49" s="271">
        <v>0</v>
      </c>
      <c r="H49" s="271">
        <v>0</v>
      </c>
      <c r="I49" s="271">
        <v>1705057</v>
      </c>
      <c r="J49" s="271">
        <v>0</v>
      </c>
      <c r="K49" s="271">
        <v>0</v>
      </c>
      <c r="L49" s="271">
        <v>0</v>
      </c>
      <c r="M49" s="271">
        <v>0</v>
      </c>
      <c r="N49" s="271">
        <v>0</v>
      </c>
      <c r="O49" s="271">
        <v>1</v>
      </c>
    </row>
    <row r="50" spans="1:15" x14ac:dyDescent="0.35">
      <c r="A50" t="s">
        <v>707</v>
      </c>
      <c r="B50">
        <v>2023</v>
      </c>
      <c r="C50" s="271">
        <v>1061710</v>
      </c>
      <c r="D50">
        <v>15000</v>
      </c>
      <c r="E50" s="271">
        <v>0</v>
      </c>
      <c r="F50" s="271">
        <v>0</v>
      </c>
      <c r="G50" s="271">
        <v>0</v>
      </c>
      <c r="H50" s="271">
        <v>0</v>
      </c>
      <c r="I50" s="271">
        <v>1791951</v>
      </c>
      <c r="J50" s="271">
        <v>15000</v>
      </c>
      <c r="K50" s="271">
        <v>0</v>
      </c>
      <c r="L50" s="271">
        <v>0</v>
      </c>
      <c r="M50" s="271">
        <v>0</v>
      </c>
      <c r="N50" s="271">
        <v>0</v>
      </c>
      <c r="O50" s="271">
        <v>2</v>
      </c>
    </row>
    <row r="51" spans="1:15" x14ac:dyDescent="0.35">
      <c r="A51" t="s">
        <v>716</v>
      </c>
      <c r="B51">
        <v>2023</v>
      </c>
      <c r="C51" s="271">
        <v>1725762</v>
      </c>
      <c r="D51">
        <v>73298</v>
      </c>
      <c r="E51" s="271">
        <v>0</v>
      </c>
      <c r="F51" s="271">
        <v>0</v>
      </c>
      <c r="G51" s="271">
        <v>0</v>
      </c>
      <c r="H51" s="271">
        <v>0</v>
      </c>
      <c r="I51" s="271">
        <v>1051254</v>
      </c>
      <c r="J51" s="271">
        <v>73298</v>
      </c>
      <c r="K51" s="271" t="s">
        <v>420</v>
      </c>
      <c r="L51" s="271" t="s">
        <v>420</v>
      </c>
      <c r="M51" s="271" t="s">
        <v>420</v>
      </c>
      <c r="N51" s="271" t="s">
        <v>420</v>
      </c>
      <c r="O51" s="271">
        <v>1</v>
      </c>
    </row>
    <row r="52" spans="1:15" x14ac:dyDescent="0.35">
      <c r="A52" t="s">
        <v>678</v>
      </c>
      <c r="B52">
        <v>2023</v>
      </c>
      <c r="C52" s="271">
        <v>260622</v>
      </c>
      <c r="D52">
        <v>0</v>
      </c>
      <c r="E52" s="271" t="s">
        <v>420</v>
      </c>
      <c r="F52" s="271" t="s">
        <v>420</v>
      </c>
      <c r="G52" s="271" t="s">
        <v>420</v>
      </c>
      <c r="H52" s="271" t="s">
        <v>420</v>
      </c>
      <c r="I52" s="271">
        <v>2091662</v>
      </c>
      <c r="J52" s="271">
        <v>0</v>
      </c>
      <c r="K52" s="271">
        <v>0</v>
      </c>
      <c r="L52" s="271">
        <v>0</v>
      </c>
      <c r="M52" s="271">
        <v>0</v>
      </c>
      <c r="N52" s="271">
        <v>0</v>
      </c>
      <c r="O52" s="271">
        <v>2</v>
      </c>
    </row>
    <row r="53" spans="1:15" x14ac:dyDescent="0.35">
      <c r="A53" t="s">
        <v>709</v>
      </c>
      <c r="B53">
        <v>2023</v>
      </c>
      <c r="C53" s="271">
        <v>923074</v>
      </c>
      <c r="D53">
        <v>0</v>
      </c>
      <c r="E53" s="271" t="s">
        <v>420</v>
      </c>
      <c r="F53" s="271" t="s">
        <v>420</v>
      </c>
      <c r="G53" s="271" t="s">
        <v>420</v>
      </c>
      <c r="H53" s="271" t="s">
        <v>420</v>
      </c>
      <c r="I53" s="271">
        <v>3880396</v>
      </c>
      <c r="J53" s="271">
        <v>0</v>
      </c>
      <c r="K53" s="271">
        <v>0</v>
      </c>
      <c r="L53" s="271">
        <v>0</v>
      </c>
      <c r="M53" s="271">
        <v>0</v>
      </c>
      <c r="N53" s="271">
        <v>0</v>
      </c>
      <c r="O53" s="271">
        <v>2</v>
      </c>
    </row>
    <row r="54" spans="1:15" x14ac:dyDescent="0.35">
      <c r="A54" t="s">
        <v>679</v>
      </c>
      <c r="B54">
        <v>2023</v>
      </c>
      <c r="C54" s="271">
        <v>148642</v>
      </c>
      <c r="D54">
        <v>0</v>
      </c>
      <c r="E54" s="271" t="s">
        <v>420</v>
      </c>
      <c r="F54" s="271" t="s">
        <v>420</v>
      </c>
      <c r="G54" s="271" t="s">
        <v>420</v>
      </c>
      <c r="H54" s="271" t="s">
        <v>420</v>
      </c>
      <c r="I54" s="271">
        <v>911646</v>
      </c>
      <c r="J54" s="271">
        <v>0</v>
      </c>
      <c r="K54" s="271">
        <v>0</v>
      </c>
      <c r="L54" s="271">
        <v>0</v>
      </c>
      <c r="M54" s="271">
        <v>0</v>
      </c>
      <c r="N54" s="271">
        <v>0</v>
      </c>
      <c r="O54" s="271">
        <v>2</v>
      </c>
    </row>
    <row r="55" spans="1:15" x14ac:dyDescent="0.35">
      <c r="A55" t="s">
        <v>710</v>
      </c>
      <c r="B55">
        <v>2023</v>
      </c>
      <c r="C55" s="271">
        <v>544604</v>
      </c>
      <c r="D55">
        <v>0</v>
      </c>
      <c r="E55" s="271">
        <v>0</v>
      </c>
      <c r="F55" s="271">
        <v>0</v>
      </c>
      <c r="G55" s="271">
        <v>0</v>
      </c>
      <c r="H55" s="271">
        <v>0</v>
      </c>
      <c r="I55" s="271">
        <v>894886</v>
      </c>
      <c r="J55" s="271">
        <v>0</v>
      </c>
      <c r="K55" s="271">
        <v>0</v>
      </c>
      <c r="L55" s="271">
        <v>0</v>
      </c>
      <c r="M55" s="271">
        <v>0</v>
      </c>
      <c r="N55" s="271">
        <v>0</v>
      </c>
      <c r="O55" s="271">
        <v>2</v>
      </c>
    </row>
    <row r="56" spans="1:15" x14ac:dyDescent="0.35">
      <c r="A56" t="s">
        <v>721</v>
      </c>
      <c r="B56">
        <v>2023</v>
      </c>
      <c r="C56" s="271">
        <v>671957</v>
      </c>
      <c r="D56">
        <v>20797</v>
      </c>
      <c r="E56" s="271">
        <v>0</v>
      </c>
      <c r="F56" s="271">
        <v>0</v>
      </c>
      <c r="G56" s="271">
        <v>0</v>
      </c>
      <c r="H56" s="271">
        <v>0</v>
      </c>
      <c r="I56" s="271">
        <v>547572</v>
      </c>
      <c r="J56" s="271">
        <v>20797</v>
      </c>
      <c r="K56" s="271">
        <v>0</v>
      </c>
      <c r="L56" s="271">
        <v>0</v>
      </c>
      <c r="M56" s="271">
        <v>0</v>
      </c>
      <c r="N56" s="271">
        <v>0</v>
      </c>
      <c r="O56" s="271">
        <v>1</v>
      </c>
    </row>
    <row r="57" spans="1:15" x14ac:dyDescent="0.35">
      <c r="A57" t="s">
        <v>579</v>
      </c>
      <c r="B57">
        <v>2023</v>
      </c>
      <c r="C57" s="271">
        <v>721393</v>
      </c>
      <c r="D57">
        <v>0</v>
      </c>
      <c r="E57" s="271">
        <v>0</v>
      </c>
      <c r="F57" s="271">
        <v>0</v>
      </c>
      <c r="G57" s="271">
        <v>0</v>
      </c>
      <c r="H57" s="271">
        <v>30000</v>
      </c>
      <c r="I57" s="271">
        <v>1174635</v>
      </c>
      <c r="J57" s="271">
        <v>0</v>
      </c>
      <c r="K57" s="271">
        <v>0</v>
      </c>
      <c r="L57" s="271">
        <v>0</v>
      </c>
      <c r="M57" s="271">
        <v>0</v>
      </c>
      <c r="N57" s="271">
        <v>0</v>
      </c>
      <c r="O57" s="271">
        <v>1</v>
      </c>
    </row>
    <row r="58" spans="1:15" x14ac:dyDescent="0.35">
      <c r="A58" t="s">
        <v>715</v>
      </c>
      <c r="B58">
        <v>2023</v>
      </c>
      <c r="C58" s="271">
        <v>2107744</v>
      </c>
      <c r="D58">
        <v>0</v>
      </c>
      <c r="E58" s="271">
        <v>0</v>
      </c>
      <c r="F58" s="271">
        <v>0</v>
      </c>
      <c r="G58" s="271">
        <v>0</v>
      </c>
      <c r="H58" s="271">
        <v>0</v>
      </c>
      <c r="I58" s="271">
        <v>1653913</v>
      </c>
      <c r="J58" s="271" t="s">
        <v>420</v>
      </c>
      <c r="K58" s="271">
        <v>0</v>
      </c>
      <c r="L58" s="271" t="s">
        <v>420</v>
      </c>
      <c r="M58" s="271" t="s">
        <v>420</v>
      </c>
      <c r="N58" s="271" t="s">
        <v>420</v>
      </c>
      <c r="O58" s="271">
        <v>2</v>
      </c>
    </row>
    <row r="59" spans="1:15" x14ac:dyDescent="0.35">
      <c r="A59" t="s">
        <v>685</v>
      </c>
      <c r="B59">
        <v>2023</v>
      </c>
      <c r="C59" s="271">
        <v>172664</v>
      </c>
      <c r="D59">
        <v>0</v>
      </c>
      <c r="E59" s="271">
        <v>0</v>
      </c>
      <c r="F59" s="271">
        <v>0</v>
      </c>
      <c r="G59" s="271">
        <v>0</v>
      </c>
      <c r="H59" s="271">
        <v>0</v>
      </c>
      <c r="I59" s="271">
        <v>2783724</v>
      </c>
      <c r="J59" s="271">
        <v>0</v>
      </c>
      <c r="K59" s="271">
        <v>0</v>
      </c>
      <c r="L59" s="271">
        <v>0</v>
      </c>
      <c r="M59" s="271">
        <v>0</v>
      </c>
      <c r="N59" s="271">
        <v>0</v>
      </c>
      <c r="O59" s="271">
        <v>2</v>
      </c>
    </row>
    <row r="60" spans="1:15" x14ac:dyDescent="0.35">
      <c r="A60" t="s">
        <v>648</v>
      </c>
      <c r="B60">
        <v>2023</v>
      </c>
      <c r="C60" s="271">
        <v>107358</v>
      </c>
      <c r="D60">
        <v>0</v>
      </c>
      <c r="E60" s="271">
        <v>0</v>
      </c>
      <c r="F60" s="271">
        <v>0</v>
      </c>
      <c r="G60" s="271">
        <v>0</v>
      </c>
      <c r="H60" s="271">
        <v>0</v>
      </c>
      <c r="I60" s="271">
        <v>72006</v>
      </c>
      <c r="J60" s="271" t="s">
        <v>420</v>
      </c>
      <c r="K60" s="271" t="s">
        <v>420</v>
      </c>
      <c r="L60" s="271" t="s">
        <v>420</v>
      </c>
      <c r="M60" s="271" t="s">
        <v>420</v>
      </c>
      <c r="N60" s="271" t="s">
        <v>420</v>
      </c>
      <c r="O60" s="271">
        <v>1</v>
      </c>
    </row>
    <row r="61" spans="1:15" x14ac:dyDescent="0.35">
      <c r="A61" t="s">
        <v>746</v>
      </c>
      <c r="B61">
        <v>2023</v>
      </c>
      <c r="C61" s="271">
        <v>2527366</v>
      </c>
      <c r="D61">
        <v>74800</v>
      </c>
      <c r="E61" s="271">
        <v>0</v>
      </c>
      <c r="F61" s="271">
        <v>0</v>
      </c>
      <c r="G61" s="271">
        <v>0</v>
      </c>
      <c r="H61" s="271">
        <v>0</v>
      </c>
      <c r="I61" s="271">
        <v>2127822</v>
      </c>
      <c r="J61" s="271">
        <v>0</v>
      </c>
      <c r="K61" s="271">
        <v>74800</v>
      </c>
      <c r="L61" s="271">
        <v>0</v>
      </c>
      <c r="M61" s="271">
        <v>0</v>
      </c>
      <c r="N61" s="271">
        <v>0</v>
      </c>
      <c r="O61" s="271">
        <v>1</v>
      </c>
    </row>
    <row r="62" spans="1:15" x14ac:dyDescent="0.35">
      <c r="A62" t="s">
        <v>717</v>
      </c>
      <c r="B62">
        <v>2023</v>
      </c>
      <c r="C62" s="271">
        <v>1162276</v>
      </c>
      <c r="D62">
        <v>0</v>
      </c>
      <c r="E62" s="271">
        <v>0</v>
      </c>
      <c r="F62" s="271">
        <v>0</v>
      </c>
      <c r="G62" s="271">
        <v>0</v>
      </c>
      <c r="H62" s="271">
        <v>0</v>
      </c>
      <c r="I62" s="271">
        <v>1597443</v>
      </c>
      <c r="J62" s="271">
        <v>0</v>
      </c>
      <c r="K62" s="271">
        <v>0</v>
      </c>
      <c r="L62" s="271">
        <v>0</v>
      </c>
      <c r="M62" s="271">
        <v>0</v>
      </c>
      <c r="N62" s="271">
        <v>0</v>
      </c>
      <c r="O62" s="271">
        <v>1</v>
      </c>
    </row>
    <row r="63" spans="1:15" x14ac:dyDescent="0.35">
      <c r="A63" t="s">
        <v>735</v>
      </c>
      <c r="B63">
        <v>2023</v>
      </c>
      <c r="C63" s="271">
        <v>1122167</v>
      </c>
      <c r="D63">
        <v>0</v>
      </c>
      <c r="E63" s="271">
        <v>0</v>
      </c>
      <c r="F63" s="271">
        <v>0</v>
      </c>
      <c r="G63" s="271">
        <v>0</v>
      </c>
      <c r="H63" s="271">
        <v>0</v>
      </c>
      <c r="I63" s="271">
        <v>786273</v>
      </c>
      <c r="J63" s="271">
        <v>0</v>
      </c>
      <c r="K63" s="271">
        <v>0</v>
      </c>
      <c r="L63" s="271">
        <v>0</v>
      </c>
      <c r="M63" s="271">
        <v>0</v>
      </c>
      <c r="N63" s="271">
        <v>0</v>
      </c>
      <c r="O63" s="271">
        <v>1</v>
      </c>
    </row>
    <row r="64" spans="1:15" x14ac:dyDescent="0.35">
      <c r="A64" t="s">
        <v>686</v>
      </c>
      <c r="B64">
        <v>2023</v>
      </c>
      <c r="C64" s="271" t="s">
        <v>420</v>
      </c>
      <c r="D64">
        <v>0</v>
      </c>
      <c r="E64" s="271" t="s">
        <v>420</v>
      </c>
      <c r="F64" s="271">
        <v>0</v>
      </c>
      <c r="G64" s="271" t="s">
        <v>420</v>
      </c>
      <c r="H64" s="271">
        <v>0</v>
      </c>
      <c r="I64" s="271" t="s">
        <v>420</v>
      </c>
      <c r="J64" s="271">
        <v>0</v>
      </c>
      <c r="K64" s="271">
        <v>0</v>
      </c>
      <c r="L64" s="271">
        <v>0</v>
      </c>
      <c r="M64" s="271">
        <v>0</v>
      </c>
      <c r="N64" s="271">
        <v>0</v>
      </c>
      <c r="O64" s="271">
        <v>2</v>
      </c>
    </row>
    <row r="65" spans="1:15" x14ac:dyDescent="0.35">
      <c r="A65" t="s">
        <v>520</v>
      </c>
      <c r="B65">
        <v>2023</v>
      </c>
      <c r="C65" s="271">
        <v>860030</v>
      </c>
      <c r="D65">
        <v>0</v>
      </c>
      <c r="E65" s="271">
        <v>0</v>
      </c>
      <c r="F65" s="271">
        <v>0</v>
      </c>
      <c r="G65" s="271">
        <v>0</v>
      </c>
      <c r="H65" s="271">
        <v>0</v>
      </c>
      <c r="I65" s="271">
        <v>1491077</v>
      </c>
      <c r="J65" s="271">
        <v>0</v>
      </c>
      <c r="K65" s="271">
        <v>0</v>
      </c>
      <c r="L65" s="271">
        <v>0</v>
      </c>
      <c r="M65" s="271">
        <v>0</v>
      </c>
      <c r="N65" s="271">
        <v>0</v>
      </c>
      <c r="O65" s="271">
        <v>1</v>
      </c>
    </row>
    <row r="66" spans="1:15" x14ac:dyDescent="0.35">
      <c r="A66" t="s">
        <v>712</v>
      </c>
      <c r="B66">
        <v>2023</v>
      </c>
      <c r="C66" s="271">
        <v>2103116</v>
      </c>
      <c r="D66">
        <v>0</v>
      </c>
      <c r="E66" s="271" t="s">
        <v>420</v>
      </c>
      <c r="F66" s="271" t="s">
        <v>420</v>
      </c>
      <c r="G66" s="271" t="s">
        <v>420</v>
      </c>
      <c r="H66" s="271" t="s">
        <v>420</v>
      </c>
      <c r="I66" s="271">
        <v>2878195</v>
      </c>
      <c r="J66" s="271" t="s">
        <v>420</v>
      </c>
      <c r="K66" s="271" t="s">
        <v>420</v>
      </c>
      <c r="L66" s="271" t="s">
        <v>420</v>
      </c>
      <c r="M66" s="271" t="s">
        <v>420</v>
      </c>
      <c r="N66" s="271" t="s">
        <v>420</v>
      </c>
      <c r="O66" s="271">
        <v>2</v>
      </c>
    </row>
    <row r="67" spans="1:15" x14ac:dyDescent="0.35">
      <c r="A67" t="s">
        <v>682</v>
      </c>
      <c r="B67">
        <v>2023</v>
      </c>
      <c r="C67" s="271" t="s">
        <v>420</v>
      </c>
      <c r="D67">
        <v>0</v>
      </c>
      <c r="E67" s="271" t="s">
        <v>420</v>
      </c>
      <c r="F67" s="271" t="s">
        <v>420</v>
      </c>
      <c r="G67" s="271" t="s">
        <v>420</v>
      </c>
      <c r="H67" s="271" t="s">
        <v>420</v>
      </c>
      <c r="I67" s="271" t="s">
        <v>420</v>
      </c>
      <c r="J67" s="271" t="s">
        <v>420</v>
      </c>
      <c r="K67" s="271" t="s">
        <v>420</v>
      </c>
      <c r="L67" s="271" t="s">
        <v>420</v>
      </c>
      <c r="M67" s="271" t="s">
        <v>420</v>
      </c>
      <c r="N67" s="271" t="s">
        <v>420</v>
      </c>
      <c r="O67" s="271">
        <v>2</v>
      </c>
    </row>
    <row r="68" spans="1:15" x14ac:dyDescent="0.35">
      <c r="A68" t="s">
        <v>695</v>
      </c>
      <c r="B68">
        <v>2023</v>
      </c>
      <c r="C68" s="271">
        <v>241963</v>
      </c>
      <c r="D68">
        <v>4309</v>
      </c>
      <c r="E68" s="271">
        <v>0</v>
      </c>
      <c r="F68" s="271">
        <v>0</v>
      </c>
      <c r="G68" s="271">
        <v>0</v>
      </c>
      <c r="H68" s="271">
        <v>0</v>
      </c>
      <c r="I68" s="271">
        <v>1042548</v>
      </c>
      <c r="J68" s="271">
        <v>0</v>
      </c>
      <c r="K68" s="271">
        <v>4309</v>
      </c>
      <c r="L68" s="271">
        <v>0</v>
      </c>
      <c r="M68" s="271">
        <v>0</v>
      </c>
      <c r="N68" s="271">
        <v>0</v>
      </c>
      <c r="O68" s="271">
        <v>2</v>
      </c>
    </row>
    <row r="69" spans="1:15" x14ac:dyDescent="0.35">
      <c r="A69" t="s">
        <v>681</v>
      </c>
      <c r="B69">
        <v>2023</v>
      </c>
      <c r="C69" s="271">
        <v>141731</v>
      </c>
      <c r="D69">
        <v>2524</v>
      </c>
      <c r="E69" s="271">
        <v>0</v>
      </c>
      <c r="F69" s="271">
        <v>0</v>
      </c>
      <c r="G69" s="271">
        <v>0</v>
      </c>
      <c r="H69" s="271">
        <v>0</v>
      </c>
      <c r="I69" s="271">
        <v>2633300</v>
      </c>
      <c r="J69" s="271">
        <v>0</v>
      </c>
      <c r="K69" s="271">
        <v>2524</v>
      </c>
      <c r="L69" s="271">
        <v>0</v>
      </c>
      <c r="M69" s="271">
        <v>0</v>
      </c>
      <c r="N69" s="271">
        <v>0</v>
      </c>
      <c r="O69" s="271">
        <v>2</v>
      </c>
    </row>
    <row r="70" spans="1:15" x14ac:dyDescent="0.35">
      <c r="A70" t="s">
        <v>699</v>
      </c>
      <c r="B70">
        <v>2023</v>
      </c>
      <c r="C70" s="271">
        <v>673751</v>
      </c>
      <c r="D70">
        <v>11997</v>
      </c>
      <c r="E70" s="271">
        <v>0</v>
      </c>
      <c r="F70" s="271">
        <v>0</v>
      </c>
      <c r="G70" s="271">
        <v>0</v>
      </c>
      <c r="H70" s="271">
        <v>0</v>
      </c>
      <c r="I70" s="271">
        <v>1556823</v>
      </c>
      <c r="J70" s="271">
        <v>0</v>
      </c>
      <c r="K70" s="271">
        <v>11997</v>
      </c>
      <c r="L70" s="271">
        <v>0</v>
      </c>
      <c r="M70" s="271">
        <v>0</v>
      </c>
      <c r="N70" s="271">
        <v>0</v>
      </c>
      <c r="O70" s="271">
        <v>2</v>
      </c>
    </row>
    <row r="71" spans="1:15" x14ac:dyDescent="0.35">
      <c r="A71" t="s">
        <v>698</v>
      </c>
      <c r="B71">
        <v>2023</v>
      </c>
      <c r="C71" s="271">
        <v>882744</v>
      </c>
      <c r="D71">
        <v>15719</v>
      </c>
      <c r="E71" s="271">
        <v>0</v>
      </c>
      <c r="F71" s="271">
        <v>0</v>
      </c>
      <c r="G71" s="271">
        <v>0</v>
      </c>
      <c r="H71" s="271">
        <v>0</v>
      </c>
      <c r="I71" s="271">
        <v>1915932</v>
      </c>
      <c r="J71" s="271">
        <v>0</v>
      </c>
      <c r="K71" s="271">
        <v>15719</v>
      </c>
      <c r="L71" s="271">
        <v>0</v>
      </c>
      <c r="M71" s="271">
        <v>0</v>
      </c>
      <c r="N71" s="271">
        <v>0</v>
      </c>
      <c r="O71" s="271">
        <v>2</v>
      </c>
    </row>
    <row r="72" spans="1:15" x14ac:dyDescent="0.35">
      <c r="A72" t="s">
        <v>697</v>
      </c>
      <c r="B72">
        <v>2023</v>
      </c>
      <c r="C72" s="271">
        <v>573617</v>
      </c>
      <c r="D72">
        <v>10214</v>
      </c>
      <c r="E72" s="271">
        <v>0</v>
      </c>
      <c r="F72" s="271">
        <v>0</v>
      </c>
      <c r="G72" s="271">
        <v>0</v>
      </c>
      <c r="H72" s="271">
        <v>0</v>
      </c>
      <c r="I72" s="271">
        <v>1732397</v>
      </c>
      <c r="J72" s="271">
        <v>0</v>
      </c>
      <c r="K72" s="271">
        <v>10214</v>
      </c>
      <c r="L72" s="271">
        <v>0</v>
      </c>
      <c r="M72" s="271">
        <v>0</v>
      </c>
      <c r="N72" s="271">
        <v>0</v>
      </c>
      <c r="O72" s="271">
        <v>2</v>
      </c>
    </row>
    <row r="73" spans="1:15" x14ac:dyDescent="0.35">
      <c r="A73" t="s">
        <v>687</v>
      </c>
      <c r="B73">
        <v>2023</v>
      </c>
      <c r="C73" s="271">
        <v>865894</v>
      </c>
      <c r="D73">
        <v>147740</v>
      </c>
      <c r="E73" s="271">
        <v>0</v>
      </c>
      <c r="F73" s="271">
        <v>0</v>
      </c>
      <c r="G73" s="271">
        <v>0</v>
      </c>
      <c r="H73" s="271">
        <v>0</v>
      </c>
      <c r="I73" s="271">
        <v>3425650</v>
      </c>
      <c r="J73" s="271">
        <v>64000</v>
      </c>
      <c r="K73" s="271">
        <v>83740</v>
      </c>
      <c r="L73" s="271">
        <v>0</v>
      </c>
      <c r="M73" s="271">
        <v>0</v>
      </c>
      <c r="N73" s="271">
        <v>0</v>
      </c>
      <c r="O73" s="271">
        <v>2</v>
      </c>
    </row>
    <row r="74" spans="1:15" x14ac:dyDescent="0.35">
      <c r="A74" t="s">
        <v>688</v>
      </c>
      <c r="B74">
        <v>2023</v>
      </c>
      <c r="C74" s="271">
        <v>387434</v>
      </c>
      <c r="D74">
        <v>6899</v>
      </c>
      <c r="E74" s="271">
        <v>0</v>
      </c>
      <c r="F74" s="271">
        <v>0</v>
      </c>
      <c r="G74" s="271">
        <v>0</v>
      </c>
      <c r="H74" s="271">
        <v>0</v>
      </c>
      <c r="I74" s="271">
        <v>3213110</v>
      </c>
      <c r="J74" s="271">
        <v>0</v>
      </c>
      <c r="K74" s="271">
        <v>6899</v>
      </c>
      <c r="L74" s="271">
        <v>0</v>
      </c>
      <c r="M74" s="271">
        <v>0</v>
      </c>
      <c r="N74" s="271">
        <v>0</v>
      </c>
      <c r="O74" s="271">
        <v>2</v>
      </c>
    </row>
    <row r="75" spans="1:15" x14ac:dyDescent="0.35">
      <c r="A75" t="s">
        <v>690</v>
      </c>
      <c r="B75">
        <v>2023</v>
      </c>
      <c r="C75" s="271">
        <v>352183</v>
      </c>
      <c r="D75">
        <v>6271</v>
      </c>
      <c r="E75" s="271">
        <v>0</v>
      </c>
      <c r="F75" s="271">
        <v>0</v>
      </c>
      <c r="G75" s="271">
        <v>0</v>
      </c>
      <c r="H75" s="271">
        <v>0</v>
      </c>
      <c r="I75" s="271">
        <v>1157828</v>
      </c>
      <c r="J75" s="271">
        <v>0</v>
      </c>
      <c r="K75" s="271">
        <v>6271</v>
      </c>
      <c r="L75" s="271">
        <v>0</v>
      </c>
      <c r="M75" s="271">
        <v>0</v>
      </c>
      <c r="N75" s="271">
        <v>0</v>
      </c>
      <c r="O75" s="271">
        <v>2</v>
      </c>
    </row>
    <row r="76" spans="1:15" x14ac:dyDescent="0.35">
      <c r="A76" t="s">
        <v>689</v>
      </c>
      <c r="B76">
        <v>2023</v>
      </c>
      <c r="C76" s="271">
        <v>1154374</v>
      </c>
      <c r="D76">
        <v>20556</v>
      </c>
      <c r="E76" s="271">
        <v>0</v>
      </c>
      <c r="F76" s="271">
        <v>0</v>
      </c>
      <c r="G76" s="271">
        <v>0</v>
      </c>
      <c r="H76" s="271">
        <v>0</v>
      </c>
      <c r="I76" s="271">
        <v>2458211</v>
      </c>
      <c r="J76" s="271">
        <v>0</v>
      </c>
      <c r="K76" s="271">
        <v>20556</v>
      </c>
      <c r="L76" s="271">
        <v>0</v>
      </c>
      <c r="M76" s="271">
        <v>0</v>
      </c>
      <c r="N76" s="271">
        <v>0</v>
      </c>
      <c r="O76" s="271">
        <v>2</v>
      </c>
    </row>
    <row r="77" spans="1:15" x14ac:dyDescent="0.35">
      <c r="A77" t="s">
        <v>736</v>
      </c>
      <c r="B77">
        <v>2023</v>
      </c>
      <c r="C77" s="271">
        <v>460021</v>
      </c>
      <c r="D77">
        <v>0</v>
      </c>
      <c r="E77" s="271">
        <v>0</v>
      </c>
      <c r="F77" s="271">
        <v>0</v>
      </c>
      <c r="G77" s="271">
        <v>0</v>
      </c>
      <c r="H77" s="271">
        <v>0</v>
      </c>
      <c r="I77" s="271">
        <v>934080</v>
      </c>
      <c r="J77" s="271" t="s">
        <v>4</v>
      </c>
      <c r="K77" s="271" t="s">
        <v>4</v>
      </c>
      <c r="L77" s="271" t="s">
        <v>4</v>
      </c>
      <c r="M77" s="271" t="s">
        <v>4</v>
      </c>
      <c r="N77" s="271" t="s">
        <v>420</v>
      </c>
      <c r="O77" s="271">
        <v>1</v>
      </c>
    </row>
    <row r="78" spans="1:15" x14ac:dyDescent="0.35">
      <c r="A78" t="s">
        <v>708</v>
      </c>
      <c r="B78">
        <v>2023</v>
      </c>
      <c r="C78" s="271">
        <v>584845</v>
      </c>
      <c r="D78">
        <v>0</v>
      </c>
      <c r="E78" s="271">
        <v>0</v>
      </c>
      <c r="F78" s="271">
        <v>0</v>
      </c>
      <c r="G78" s="271">
        <v>0</v>
      </c>
      <c r="H78" s="271">
        <v>0</v>
      </c>
      <c r="I78" s="271">
        <v>1155149</v>
      </c>
      <c r="J78" s="271" t="s">
        <v>420</v>
      </c>
      <c r="K78" s="271" t="s">
        <v>420</v>
      </c>
      <c r="L78" s="271" t="s">
        <v>420</v>
      </c>
      <c r="M78" s="271" t="s">
        <v>420</v>
      </c>
      <c r="N78" s="271" t="s">
        <v>420</v>
      </c>
      <c r="O78" s="271">
        <v>2</v>
      </c>
    </row>
    <row r="79" spans="1:15" x14ac:dyDescent="0.35">
      <c r="A79" t="s">
        <v>723</v>
      </c>
      <c r="B79">
        <v>2023</v>
      </c>
      <c r="C79" s="271">
        <v>1535892</v>
      </c>
      <c r="D79">
        <v>260947</v>
      </c>
      <c r="E79" s="271">
        <v>0</v>
      </c>
      <c r="F79" s="271">
        <v>0</v>
      </c>
      <c r="G79" s="271">
        <v>0</v>
      </c>
      <c r="H79" s="271">
        <v>0</v>
      </c>
      <c r="I79" s="271">
        <v>2285496</v>
      </c>
      <c r="J79" s="271">
        <v>12615</v>
      </c>
      <c r="K79" s="271">
        <v>248332</v>
      </c>
      <c r="L79" s="271">
        <v>0</v>
      </c>
      <c r="M79" s="271">
        <v>0</v>
      </c>
      <c r="N79" s="271">
        <v>0</v>
      </c>
      <c r="O79" s="271">
        <v>1</v>
      </c>
    </row>
    <row r="80" spans="1:15" x14ac:dyDescent="0.35">
      <c r="A80" t="s">
        <v>747</v>
      </c>
      <c r="B80">
        <v>2023</v>
      </c>
      <c r="C80" s="271">
        <v>656911</v>
      </c>
      <c r="D80">
        <v>0</v>
      </c>
      <c r="E80" s="271" t="s">
        <v>420</v>
      </c>
      <c r="F80" s="271" t="s">
        <v>420</v>
      </c>
      <c r="G80" s="271" t="s">
        <v>420</v>
      </c>
      <c r="H80" s="271" t="s">
        <v>420</v>
      </c>
      <c r="I80" s="271">
        <v>1098779</v>
      </c>
      <c r="J80" s="271" t="s">
        <v>420</v>
      </c>
      <c r="K80" s="271" t="s">
        <v>420</v>
      </c>
      <c r="L80" s="271" t="s">
        <v>420</v>
      </c>
      <c r="M80" s="271" t="s">
        <v>420</v>
      </c>
      <c r="N80" s="271" t="s">
        <v>420</v>
      </c>
      <c r="O80" s="271">
        <v>1</v>
      </c>
    </row>
    <row r="81" spans="1:15" x14ac:dyDescent="0.35">
      <c r="A81" t="s">
        <v>728</v>
      </c>
      <c r="B81">
        <v>2023</v>
      </c>
      <c r="C81" s="271">
        <v>1662024</v>
      </c>
      <c r="D81">
        <v>0</v>
      </c>
      <c r="E81" s="271">
        <v>0</v>
      </c>
      <c r="F81" s="271">
        <v>0</v>
      </c>
      <c r="G81" s="271">
        <v>0</v>
      </c>
      <c r="H81" s="271">
        <v>0</v>
      </c>
      <c r="I81" s="271">
        <v>2160260</v>
      </c>
      <c r="J81" s="271">
        <v>0</v>
      </c>
      <c r="K81" s="271">
        <v>0</v>
      </c>
      <c r="L81" s="271">
        <v>0</v>
      </c>
      <c r="M81" s="271">
        <v>0</v>
      </c>
      <c r="N81" s="271">
        <v>0</v>
      </c>
      <c r="O81" s="271">
        <v>1</v>
      </c>
    </row>
    <row r="82" spans="1:15" x14ac:dyDescent="0.35">
      <c r="A82" t="s">
        <v>702</v>
      </c>
      <c r="B82">
        <v>2023</v>
      </c>
      <c r="C82" s="271">
        <v>1109739</v>
      </c>
      <c r="D82">
        <v>3877</v>
      </c>
      <c r="E82" s="271">
        <v>0</v>
      </c>
      <c r="F82" s="271">
        <v>0</v>
      </c>
      <c r="G82" s="271">
        <v>0</v>
      </c>
      <c r="H82" s="271">
        <v>0</v>
      </c>
      <c r="I82" s="271">
        <v>1396824</v>
      </c>
      <c r="J82" s="271">
        <v>0</v>
      </c>
      <c r="K82" s="271">
        <v>3877</v>
      </c>
      <c r="L82" s="271">
        <v>0</v>
      </c>
      <c r="M82" s="271">
        <v>0</v>
      </c>
      <c r="N82" s="271">
        <v>0</v>
      </c>
      <c r="O82" s="271">
        <v>2</v>
      </c>
    </row>
    <row r="83" spans="1:15" x14ac:dyDescent="0.35">
      <c r="A83" t="s">
        <v>737</v>
      </c>
      <c r="B83">
        <v>2023</v>
      </c>
      <c r="C83" s="271">
        <v>188053</v>
      </c>
      <c r="D83">
        <v>0</v>
      </c>
      <c r="E83" s="271">
        <v>0</v>
      </c>
      <c r="F83" s="271">
        <v>0</v>
      </c>
      <c r="G83" s="271">
        <v>0</v>
      </c>
      <c r="H83" s="271">
        <v>0</v>
      </c>
      <c r="I83" s="271">
        <v>184062</v>
      </c>
      <c r="J83" s="271" t="s">
        <v>420</v>
      </c>
      <c r="K83" s="271" t="s">
        <v>420</v>
      </c>
      <c r="L83" s="271" t="s">
        <v>420</v>
      </c>
      <c r="M83" s="271" t="s">
        <v>420</v>
      </c>
      <c r="N83" s="271" t="s">
        <v>420</v>
      </c>
      <c r="O83" s="271">
        <v>1</v>
      </c>
    </row>
    <row r="84" spans="1:15" x14ac:dyDescent="0.35">
      <c r="A84" t="s">
        <v>741</v>
      </c>
      <c r="B84">
        <v>2023</v>
      </c>
      <c r="C84" s="271">
        <v>1925521</v>
      </c>
      <c r="D84">
        <v>0</v>
      </c>
      <c r="E84" s="271">
        <v>0</v>
      </c>
      <c r="F84" s="271">
        <v>0</v>
      </c>
      <c r="G84" s="271">
        <v>0</v>
      </c>
      <c r="H84" s="271">
        <v>0</v>
      </c>
      <c r="I84" s="271">
        <v>3913330</v>
      </c>
      <c r="J84" s="271">
        <v>0</v>
      </c>
      <c r="K84" s="271">
        <v>0</v>
      </c>
      <c r="L84" s="271">
        <v>0</v>
      </c>
      <c r="M84" s="271">
        <v>0</v>
      </c>
      <c r="N84" s="271">
        <v>0</v>
      </c>
      <c r="O84" s="271">
        <v>1</v>
      </c>
    </row>
    <row r="85" spans="1:15" x14ac:dyDescent="0.35">
      <c r="A85" t="s">
        <v>703</v>
      </c>
      <c r="B85">
        <v>2023</v>
      </c>
      <c r="C85" s="271">
        <v>1114187</v>
      </c>
      <c r="D85">
        <v>0</v>
      </c>
      <c r="E85" s="271">
        <v>0</v>
      </c>
      <c r="F85" s="271" t="s">
        <v>420</v>
      </c>
      <c r="G85" s="271">
        <v>0</v>
      </c>
      <c r="H85" s="271" t="s">
        <v>420</v>
      </c>
      <c r="I85" s="271">
        <v>3103008</v>
      </c>
      <c r="J85" s="271">
        <v>0</v>
      </c>
      <c r="K85" s="271" t="s">
        <v>420</v>
      </c>
      <c r="L85" s="271" t="s">
        <v>420</v>
      </c>
      <c r="M85" s="271" t="s">
        <v>420</v>
      </c>
      <c r="N85" s="271" t="s">
        <v>420</v>
      </c>
      <c r="O85" s="271">
        <v>2</v>
      </c>
    </row>
    <row r="86" spans="1:15" x14ac:dyDescent="0.35">
      <c r="A86" t="s">
        <v>602</v>
      </c>
      <c r="B86">
        <v>2023</v>
      </c>
      <c r="C86" s="271">
        <v>1484690</v>
      </c>
      <c r="D86">
        <v>0</v>
      </c>
      <c r="E86" s="271">
        <v>0</v>
      </c>
      <c r="F86" s="271" t="s">
        <v>420</v>
      </c>
      <c r="G86" s="271">
        <v>0</v>
      </c>
      <c r="H86" s="271" t="s">
        <v>420</v>
      </c>
      <c r="I86" s="271">
        <v>2623692</v>
      </c>
      <c r="J86" s="271" t="s">
        <v>420</v>
      </c>
      <c r="K86" s="271" t="s">
        <v>420</v>
      </c>
      <c r="L86" s="271" t="s">
        <v>420</v>
      </c>
      <c r="M86" s="271" t="s">
        <v>420</v>
      </c>
      <c r="N86" s="271" t="s">
        <v>420</v>
      </c>
      <c r="O86" s="271">
        <v>1</v>
      </c>
    </row>
    <row r="87" spans="1:15" x14ac:dyDescent="0.35">
      <c r="A87" t="s">
        <v>582</v>
      </c>
      <c r="B87">
        <v>2023</v>
      </c>
      <c r="C87" s="271">
        <v>1748886</v>
      </c>
      <c r="D87">
        <v>31857</v>
      </c>
      <c r="E87" s="271">
        <v>0</v>
      </c>
      <c r="F87" s="271">
        <v>0</v>
      </c>
      <c r="G87" s="271">
        <v>0</v>
      </c>
      <c r="H87" s="271">
        <v>0</v>
      </c>
      <c r="I87" s="271">
        <v>1855260</v>
      </c>
      <c r="J87" s="271">
        <v>23118</v>
      </c>
      <c r="K87" s="271">
        <v>8740</v>
      </c>
      <c r="L87" s="271">
        <v>0</v>
      </c>
      <c r="M87" s="271">
        <v>0</v>
      </c>
      <c r="N87" s="271">
        <v>0</v>
      </c>
      <c r="O87" s="271">
        <v>1</v>
      </c>
    </row>
    <row r="88" spans="1:15" x14ac:dyDescent="0.35">
      <c r="A88" t="s">
        <v>726</v>
      </c>
      <c r="B88">
        <v>2023</v>
      </c>
      <c r="C88" s="271">
        <v>1839406</v>
      </c>
      <c r="D88">
        <v>5536</v>
      </c>
      <c r="E88" s="271">
        <v>0</v>
      </c>
      <c r="F88" s="271">
        <v>0</v>
      </c>
      <c r="G88" s="271">
        <v>0</v>
      </c>
      <c r="H88" s="271">
        <v>0</v>
      </c>
      <c r="I88" s="271">
        <v>3183637</v>
      </c>
      <c r="J88" s="271">
        <v>0</v>
      </c>
      <c r="K88" s="271">
        <v>0</v>
      </c>
      <c r="L88" s="271">
        <v>5536</v>
      </c>
      <c r="M88" s="271">
        <v>0</v>
      </c>
      <c r="N88" s="271">
        <v>0</v>
      </c>
      <c r="O88" s="271">
        <v>1</v>
      </c>
    </row>
    <row r="89" spans="1:15" x14ac:dyDescent="0.35">
      <c r="A89" t="s">
        <v>704</v>
      </c>
      <c r="B89">
        <v>2023</v>
      </c>
      <c r="C89" s="271">
        <v>825000</v>
      </c>
      <c r="D89">
        <v>0</v>
      </c>
      <c r="E89" s="271">
        <v>0</v>
      </c>
      <c r="F89" s="271">
        <v>0</v>
      </c>
      <c r="G89" s="271">
        <v>0</v>
      </c>
      <c r="H89" s="271">
        <v>0</v>
      </c>
      <c r="I89" s="271">
        <v>1003951</v>
      </c>
      <c r="J89" s="271">
        <v>0</v>
      </c>
      <c r="K89" s="271">
        <v>0</v>
      </c>
      <c r="L89" s="271">
        <v>0</v>
      </c>
      <c r="M89" s="271">
        <v>0</v>
      </c>
      <c r="N89" s="271">
        <v>0</v>
      </c>
      <c r="O89" s="271">
        <v>2</v>
      </c>
    </row>
    <row r="90" spans="1:15" x14ac:dyDescent="0.35">
      <c r="A90" t="s">
        <v>734</v>
      </c>
      <c r="B90">
        <v>2023</v>
      </c>
      <c r="C90" s="271">
        <v>562980</v>
      </c>
      <c r="D90">
        <v>0</v>
      </c>
      <c r="E90" s="271">
        <v>0</v>
      </c>
      <c r="F90" s="271">
        <v>0</v>
      </c>
      <c r="G90" s="271">
        <v>14590</v>
      </c>
      <c r="H90" s="271">
        <v>0</v>
      </c>
      <c r="I90" s="271">
        <v>823538</v>
      </c>
      <c r="J90" s="271">
        <v>0</v>
      </c>
      <c r="K90" s="271">
        <v>0</v>
      </c>
      <c r="L90" s="271">
        <v>0</v>
      </c>
      <c r="M90" s="271">
        <v>0</v>
      </c>
      <c r="N90" s="271">
        <v>0</v>
      </c>
      <c r="O90" s="271">
        <v>1</v>
      </c>
    </row>
    <row r="91" spans="1:15" x14ac:dyDescent="0.35">
      <c r="A91" t="s">
        <v>720</v>
      </c>
      <c r="B91">
        <v>2023</v>
      </c>
      <c r="C91" s="271">
        <v>1993163</v>
      </c>
      <c r="D91">
        <v>66298</v>
      </c>
      <c r="E91" s="271">
        <v>0</v>
      </c>
      <c r="F91" s="271">
        <v>0</v>
      </c>
      <c r="G91" s="271">
        <v>0</v>
      </c>
      <c r="H91" s="271">
        <v>0</v>
      </c>
      <c r="I91" s="271">
        <v>2558999</v>
      </c>
      <c r="J91" s="271">
        <v>0</v>
      </c>
      <c r="K91" s="271">
        <v>18038</v>
      </c>
      <c r="L91" s="271">
        <v>46753</v>
      </c>
      <c r="M91" s="271">
        <v>1507</v>
      </c>
      <c r="N91" s="271">
        <v>0</v>
      </c>
      <c r="O91" s="271">
        <v>1</v>
      </c>
    </row>
    <row r="92" spans="1:15" x14ac:dyDescent="0.35">
      <c r="A92" t="s">
        <v>738</v>
      </c>
      <c r="B92">
        <v>2023</v>
      </c>
      <c r="C92" s="271" t="s">
        <v>420</v>
      </c>
      <c r="D92">
        <v>0</v>
      </c>
      <c r="E92" s="271" t="s">
        <v>420</v>
      </c>
      <c r="F92" s="271" t="s">
        <v>420</v>
      </c>
      <c r="G92" s="271" t="s">
        <v>420</v>
      </c>
      <c r="H92" s="271" t="s">
        <v>420</v>
      </c>
      <c r="I92" s="271" t="s">
        <v>420</v>
      </c>
      <c r="J92" s="271" t="s">
        <v>420</v>
      </c>
      <c r="K92" s="271" t="s">
        <v>420</v>
      </c>
      <c r="L92" s="271" t="s">
        <v>420</v>
      </c>
      <c r="M92" s="271" t="s">
        <v>420</v>
      </c>
      <c r="N92" s="271" t="s">
        <v>420</v>
      </c>
      <c r="O92" s="271">
        <v>1</v>
      </c>
    </row>
    <row r="93" spans="1:15" x14ac:dyDescent="0.35">
      <c r="A93" t="s">
        <v>580</v>
      </c>
      <c r="B93">
        <v>2023</v>
      </c>
      <c r="C93" s="271">
        <v>1673204</v>
      </c>
      <c r="D93">
        <v>0</v>
      </c>
      <c r="E93" s="271">
        <v>0</v>
      </c>
      <c r="F93" s="271">
        <v>0</v>
      </c>
      <c r="G93" s="271">
        <v>0</v>
      </c>
      <c r="H93" s="271">
        <v>0</v>
      </c>
      <c r="I93" s="271">
        <v>2224681</v>
      </c>
      <c r="J93" s="271">
        <v>0</v>
      </c>
      <c r="K93" s="271">
        <v>0</v>
      </c>
      <c r="L93" s="271">
        <v>0</v>
      </c>
      <c r="M93" s="271">
        <v>0</v>
      </c>
      <c r="N93" s="271">
        <v>0</v>
      </c>
      <c r="O93" s="271">
        <v>1</v>
      </c>
    </row>
    <row r="94" spans="1:15" x14ac:dyDescent="0.35">
      <c r="A94" t="s">
        <v>725</v>
      </c>
      <c r="B94">
        <v>2023</v>
      </c>
      <c r="C94" s="271">
        <v>919820</v>
      </c>
      <c r="D94">
        <v>0</v>
      </c>
      <c r="E94" s="271">
        <v>0</v>
      </c>
      <c r="F94" s="271">
        <v>0</v>
      </c>
      <c r="G94" s="271">
        <v>0</v>
      </c>
      <c r="H94" s="271">
        <v>0</v>
      </c>
      <c r="I94" s="271">
        <v>2559302</v>
      </c>
      <c r="J94" s="271">
        <v>0</v>
      </c>
      <c r="K94" s="271">
        <v>0</v>
      </c>
      <c r="L94" s="271">
        <v>0</v>
      </c>
      <c r="M94" s="271">
        <v>0</v>
      </c>
      <c r="N94" s="271">
        <v>0</v>
      </c>
      <c r="O94" s="271">
        <v>1</v>
      </c>
    </row>
    <row r="95" spans="1:15" x14ac:dyDescent="0.35">
      <c r="A95" t="s">
        <v>683</v>
      </c>
      <c r="B95">
        <v>2023</v>
      </c>
      <c r="C95" s="271">
        <v>1063436</v>
      </c>
      <c r="D95">
        <v>0</v>
      </c>
      <c r="E95" s="271">
        <v>0</v>
      </c>
      <c r="F95" s="271">
        <v>0</v>
      </c>
      <c r="G95" s="271">
        <v>0</v>
      </c>
      <c r="H95" s="271">
        <v>0</v>
      </c>
      <c r="I95" s="271">
        <v>2173886</v>
      </c>
      <c r="J95" s="271">
        <v>0</v>
      </c>
      <c r="K95" s="271">
        <v>0</v>
      </c>
      <c r="L95" s="271">
        <v>0</v>
      </c>
      <c r="M95" s="271">
        <v>0</v>
      </c>
      <c r="N95" s="271">
        <v>0</v>
      </c>
      <c r="O95" s="271">
        <v>2</v>
      </c>
    </row>
    <row r="96" spans="1:15" x14ac:dyDescent="0.35">
      <c r="A96" t="s">
        <v>504</v>
      </c>
      <c r="B96">
        <v>2023</v>
      </c>
      <c r="C96" s="271">
        <v>2132168</v>
      </c>
      <c r="D96">
        <v>213787</v>
      </c>
      <c r="E96" s="271">
        <v>0</v>
      </c>
      <c r="F96" s="271">
        <v>0</v>
      </c>
      <c r="G96" s="271">
        <v>43610</v>
      </c>
      <c r="H96" s="271">
        <v>0</v>
      </c>
      <c r="I96" s="271">
        <v>10969464</v>
      </c>
      <c r="J96" s="271">
        <v>213787</v>
      </c>
      <c r="K96" s="271">
        <v>0</v>
      </c>
      <c r="L96" s="271">
        <v>0</v>
      </c>
      <c r="M96" s="271">
        <v>0</v>
      </c>
      <c r="N96" s="271">
        <v>0</v>
      </c>
      <c r="O96" s="271">
        <v>1</v>
      </c>
    </row>
    <row r="97" spans="1:15" x14ac:dyDescent="0.35">
      <c r="A97" t="s">
        <v>744</v>
      </c>
      <c r="B97">
        <v>2023</v>
      </c>
      <c r="C97" s="271">
        <v>2544182</v>
      </c>
      <c r="D97">
        <v>65295</v>
      </c>
      <c r="E97" s="271">
        <v>19202</v>
      </c>
      <c r="F97" s="271">
        <v>0</v>
      </c>
      <c r="G97" s="271">
        <v>7176</v>
      </c>
      <c r="H97" s="271">
        <v>0</v>
      </c>
      <c r="I97" s="271">
        <v>3984471</v>
      </c>
      <c r="J97" s="271">
        <v>45537</v>
      </c>
      <c r="K97" s="271">
        <v>0</v>
      </c>
      <c r="L97" s="271">
        <v>19758</v>
      </c>
      <c r="M97" s="271">
        <v>0</v>
      </c>
      <c r="N97" s="271">
        <v>0</v>
      </c>
      <c r="O97" s="271">
        <v>1</v>
      </c>
    </row>
    <row r="98" spans="1:15" x14ac:dyDescent="0.35">
      <c r="A98" t="s">
        <v>543</v>
      </c>
      <c r="B98">
        <v>2023</v>
      </c>
      <c r="C98" s="271">
        <v>1783818</v>
      </c>
      <c r="D98">
        <v>70473</v>
      </c>
      <c r="E98" s="271">
        <v>1303</v>
      </c>
      <c r="F98" s="271">
        <v>0</v>
      </c>
      <c r="G98" s="271">
        <v>5290</v>
      </c>
      <c r="H98" s="271">
        <v>0</v>
      </c>
      <c r="I98" s="271">
        <v>1795772</v>
      </c>
      <c r="J98" s="271">
        <v>70473</v>
      </c>
      <c r="K98" s="271">
        <v>0</v>
      </c>
      <c r="L98" s="271">
        <v>0</v>
      </c>
      <c r="M98" s="271">
        <v>0</v>
      </c>
      <c r="N98" s="271">
        <v>0</v>
      </c>
      <c r="O98" s="271">
        <v>1</v>
      </c>
    </row>
    <row r="99" spans="1:15" x14ac:dyDescent="0.35">
      <c r="A99" t="s">
        <v>730</v>
      </c>
      <c r="B99">
        <v>2023</v>
      </c>
      <c r="C99" s="271">
        <v>3266796</v>
      </c>
      <c r="D99">
        <v>0</v>
      </c>
      <c r="E99" s="271">
        <v>0</v>
      </c>
      <c r="F99" s="271">
        <v>0</v>
      </c>
      <c r="G99" s="271">
        <v>0</v>
      </c>
      <c r="H99" s="271">
        <v>0</v>
      </c>
      <c r="I99" s="271">
        <v>5285149</v>
      </c>
      <c r="J99" s="271">
        <v>0</v>
      </c>
      <c r="K99" s="271">
        <v>0</v>
      </c>
      <c r="L99" s="271">
        <v>0</v>
      </c>
      <c r="M99" s="271">
        <v>0</v>
      </c>
      <c r="N99" s="271">
        <v>0</v>
      </c>
      <c r="O99" s="271">
        <v>1</v>
      </c>
    </row>
    <row r="100" spans="1:15" x14ac:dyDescent="0.35">
      <c r="A100" t="s">
        <v>733</v>
      </c>
      <c r="B100">
        <v>2023</v>
      </c>
      <c r="C100" s="271">
        <v>801130</v>
      </c>
      <c r="D100">
        <v>0</v>
      </c>
      <c r="E100" s="271">
        <v>0</v>
      </c>
      <c r="F100" s="271">
        <v>0</v>
      </c>
      <c r="G100" s="271">
        <v>0</v>
      </c>
      <c r="H100" s="271">
        <v>0</v>
      </c>
      <c r="I100" s="271">
        <v>3634770</v>
      </c>
      <c r="J100" s="271">
        <v>0</v>
      </c>
      <c r="K100" s="271">
        <v>0</v>
      </c>
      <c r="L100" s="271">
        <v>0</v>
      </c>
      <c r="M100" s="271">
        <v>0</v>
      </c>
      <c r="N100" s="271">
        <v>0</v>
      </c>
      <c r="O100" s="271">
        <v>1</v>
      </c>
    </row>
    <row r="101" spans="1:15" x14ac:dyDescent="0.35">
      <c r="A101" t="s">
        <v>638</v>
      </c>
      <c r="B101">
        <v>2023</v>
      </c>
      <c r="C101" s="271">
        <v>882506</v>
      </c>
      <c r="D101">
        <v>0</v>
      </c>
      <c r="E101" s="271">
        <v>0</v>
      </c>
      <c r="F101" s="271">
        <v>0</v>
      </c>
      <c r="G101" s="271">
        <v>0</v>
      </c>
      <c r="H101" s="271">
        <v>0</v>
      </c>
      <c r="I101" s="271">
        <v>2052005</v>
      </c>
      <c r="J101" s="271">
        <v>0</v>
      </c>
      <c r="K101" s="271">
        <v>0</v>
      </c>
      <c r="L101" s="271">
        <v>0</v>
      </c>
      <c r="M101" s="271">
        <v>0</v>
      </c>
      <c r="N101" s="271">
        <v>0</v>
      </c>
      <c r="O101" s="271">
        <v>1</v>
      </c>
    </row>
    <row r="102" spans="1:15" x14ac:dyDescent="0.35">
      <c r="A102" t="s">
        <v>713</v>
      </c>
      <c r="B102">
        <v>2023</v>
      </c>
      <c r="C102" s="271">
        <v>1360413</v>
      </c>
      <c r="D102">
        <v>0</v>
      </c>
      <c r="E102" s="271">
        <v>0</v>
      </c>
      <c r="F102" s="271">
        <v>0</v>
      </c>
      <c r="G102" s="271">
        <v>0</v>
      </c>
      <c r="H102" s="271">
        <v>0</v>
      </c>
      <c r="I102" s="271">
        <v>1807246</v>
      </c>
      <c r="J102" s="271" t="s">
        <v>420</v>
      </c>
      <c r="K102" s="271" t="s">
        <v>420</v>
      </c>
      <c r="L102" s="271" t="s">
        <v>420</v>
      </c>
      <c r="M102" s="271" t="s">
        <v>420</v>
      </c>
      <c r="N102" s="271" t="s">
        <v>420</v>
      </c>
      <c r="O102" s="271">
        <v>2</v>
      </c>
    </row>
    <row r="103" spans="1:15" x14ac:dyDescent="0.35">
      <c r="A103" t="s">
        <v>523</v>
      </c>
      <c r="B103">
        <v>2023</v>
      </c>
      <c r="C103" s="271">
        <v>147705</v>
      </c>
      <c r="D103">
        <v>10339</v>
      </c>
      <c r="E103" s="271">
        <v>0</v>
      </c>
      <c r="F103" s="271">
        <v>0</v>
      </c>
      <c r="G103" s="271">
        <v>0</v>
      </c>
      <c r="H103" s="271">
        <v>0</v>
      </c>
      <c r="I103" s="271">
        <v>237308</v>
      </c>
      <c r="J103" s="271" t="s">
        <v>420</v>
      </c>
      <c r="K103" s="271" t="s">
        <v>420</v>
      </c>
      <c r="L103" s="271" t="s">
        <v>420</v>
      </c>
      <c r="M103" s="271" t="s">
        <v>420</v>
      </c>
      <c r="N103" s="271" t="s">
        <v>420</v>
      </c>
      <c r="O103" s="271">
        <v>1</v>
      </c>
    </row>
    <row r="104" spans="1:15" x14ac:dyDescent="0.35">
      <c r="A104" t="s">
        <v>745</v>
      </c>
      <c r="B104">
        <v>2023</v>
      </c>
      <c r="C104" s="271">
        <v>3071067</v>
      </c>
      <c r="D104">
        <v>264248</v>
      </c>
      <c r="E104" s="271">
        <v>0</v>
      </c>
      <c r="F104" s="271">
        <v>0</v>
      </c>
      <c r="G104" s="271">
        <v>0</v>
      </c>
      <c r="H104" s="271">
        <v>0</v>
      </c>
      <c r="I104" s="271">
        <v>10419077</v>
      </c>
      <c r="J104" s="271">
        <v>264248</v>
      </c>
      <c r="K104" s="271">
        <v>0</v>
      </c>
      <c r="L104" s="271">
        <v>0</v>
      </c>
      <c r="M104" s="271">
        <v>0</v>
      </c>
      <c r="N104" s="271">
        <v>0</v>
      </c>
      <c r="O104" s="271">
        <v>1</v>
      </c>
    </row>
    <row r="105" spans="1:15" x14ac:dyDescent="0.35">
      <c r="A105" t="s">
        <v>584</v>
      </c>
      <c r="B105">
        <v>2023</v>
      </c>
      <c r="C105" s="271">
        <v>5482423</v>
      </c>
      <c r="D105">
        <v>0</v>
      </c>
      <c r="E105" s="271">
        <v>0</v>
      </c>
      <c r="F105" s="271">
        <v>0</v>
      </c>
      <c r="G105" s="271">
        <v>0</v>
      </c>
      <c r="H105" s="271">
        <v>0</v>
      </c>
      <c r="I105" s="271">
        <v>15021496</v>
      </c>
      <c r="J105" s="271">
        <v>0</v>
      </c>
      <c r="K105" s="271">
        <v>0</v>
      </c>
      <c r="L105" s="271">
        <v>0</v>
      </c>
      <c r="M105" s="271">
        <v>0</v>
      </c>
      <c r="N105" s="271">
        <v>0</v>
      </c>
      <c r="O105" s="271">
        <v>1</v>
      </c>
    </row>
  </sheetData>
  <sheetProtection algorithmName="SHA-512" hashValue="mu3Kmc8C4dD//GWrIgOHxRx+MVQsUeClNqeqN+fke67oLSa0jvPpW7ntk6ztLjkVYPOyD4P34ds4mf4P7S2FFw==" saltValue="pL+1WtoyyghmFjv5ShnT8w==" spinCount="100000" sheet="1" objects="1" scenarios="1"/>
  <sortState xmlns:xlrd2="http://schemas.microsoft.com/office/spreadsheetml/2017/richdata2" ref="A6:A105">
    <sortCondition ref="A6:A105"/>
  </sortState>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F4BD4-01EE-4C6A-83C0-7BBC01DE17CE}">
  <sheetPr codeName="Sheet14">
    <tabColor theme="0" tint="-0.499984740745262"/>
  </sheetPr>
  <dimension ref="A1:AE105"/>
  <sheetViews>
    <sheetView zoomScale="91" workbookViewId="0">
      <selection activeCell="F15" sqref="F15"/>
    </sheetView>
  </sheetViews>
  <sheetFormatPr defaultRowHeight="14.5" x14ac:dyDescent="0.35"/>
  <cols>
    <col min="1" max="1" width="31.81640625" bestFit="1" customWidth="1"/>
    <col min="2" max="28" width="15.54296875" customWidth="1"/>
    <col min="30" max="30" width="22.7265625" bestFit="1" customWidth="1"/>
  </cols>
  <sheetData>
    <row r="1" spans="1:31" ht="58" x14ac:dyDescent="0.35">
      <c r="B1" s="9" t="s">
        <v>387</v>
      </c>
      <c r="C1" s="120" t="s">
        <v>750</v>
      </c>
      <c r="D1" s="120" t="s">
        <v>751</v>
      </c>
      <c r="E1" s="120" t="s">
        <v>752</v>
      </c>
      <c r="F1" s="120" t="s">
        <v>753</v>
      </c>
      <c r="G1" s="120" t="s">
        <v>754</v>
      </c>
      <c r="H1" s="120" t="s">
        <v>755</v>
      </c>
      <c r="I1" s="120" t="s">
        <v>232</v>
      </c>
      <c r="J1" s="120" t="s">
        <v>756</v>
      </c>
      <c r="K1" s="120" t="s">
        <v>1380</v>
      </c>
      <c r="L1" s="120" t="s">
        <v>1381</v>
      </c>
      <c r="M1" s="120" t="s">
        <v>198</v>
      </c>
      <c r="N1" s="120" t="s">
        <v>757</v>
      </c>
      <c r="O1" s="120" t="s">
        <v>758</v>
      </c>
      <c r="P1" s="2" t="s">
        <v>43</v>
      </c>
      <c r="Q1" s="2" t="s">
        <v>46</v>
      </c>
      <c r="R1" s="2" t="s">
        <v>759</v>
      </c>
      <c r="S1" s="2" t="s">
        <v>760</v>
      </c>
      <c r="T1" s="2" t="s">
        <v>761</v>
      </c>
      <c r="U1" s="2" t="s">
        <v>762</v>
      </c>
      <c r="V1" s="120" t="s">
        <v>763</v>
      </c>
      <c r="W1" s="120" t="s">
        <v>764</v>
      </c>
      <c r="X1" s="120" t="s">
        <v>765</v>
      </c>
      <c r="Y1" s="120" t="s">
        <v>766</v>
      </c>
      <c r="Z1" s="120" t="s">
        <v>767</v>
      </c>
      <c r="AA1" s="120" t="s">
        <v>768</v>
      </c>
      <c r="AB1" s="120" t="s">
        <v>769</v>
      </c>
    </row>
    <row r="2" spans="1:31" x14ac:dyDescent="0.35">
      <c r="C2" t="s">
        <v>266</v>
      </c>
      <c r="D2" t="s">
        <v>266</v>
      </c>
      <c r="E2" t="s">
        <v>266</v>
      </c>
      <c r="F2" t="s">
        <v>266</v>
      </c>
      <c r="G2" t="s">
        <v>266</v>
      </c>
      <c r="H2" t="s">
        <v>266</v>
      </c>
      <c r="I2" t="s">
        <v>266</v>
      </c>
      <c r="J2" t="s">
        <v>266</v>
      </c>
      <c r="K2" t="s">
        <v>266</v>
      </c>
      <c r="L2" t="s">
        <v>266</v>
      </c>
      <c r="M2" t="s">
        <v>266</v>
      </c>
      <c r="N2" t="s">
        <v>399</v>
      </c>
      <c r="W2" t="s">
        <v>770</v>
      </c>
      <c r="X2" t="s">
        <v>770</v>
      </c>
      <c r="Y2" t="s">
        <v>770</v>
      </c>
      <c r="Z2" t="s">
        <v>770</v>
      </c>
      <c r="AB2" t="s">
        <v>259</v>
      </c>
    </row>
    <row r="3" spans="1:31" x14ac:dyDescent="0.35">
      <c r="C3" t="s">
        <v>400</v>
      </c>
      <c r="D3" t="s">
        <v>400</v>
      </c>
      <c r="E3" t="s">
        <v>400</v>
      </c>
      <c r="F3" t="s">
        <v>400</v>
      </c>
      <c r="G3" t="s">
        <v>402</v>
      </c>
      <c r="H3" t="s">
        <v>402</v>
      </c>
      <c r="I3" t="s">
        <v>402</v>
      </c>
      <c r="J3" t="s">
        <v>402</v>
      </c>
      <c r="K3" t="s">
        <v>400</v>
      </c>
      <c r="L3" t="s">
        <v>400</v>
      </c>
      <c r="M3" t="s">
        <v>400</v>
      </c>
      <c r="N3" t="s">
        <v>401</v>
      </c>
      <c r="O3" t="s">
        <v>402</v>
      </c>
      <c r="P3" t="s">
        <v>402</v>
      </c>
      <c r="Q3" t="s">
        <v>402</v>
      </c>
      <c r="R3" t="s">
        <v>402</v>
      </c>
      <c r="S3" t="s">
        <v>402</v>
      </c>
      <c r="T3" t="s">
        <v>402</v>
      </c>
      <c r="U3" t="s">
        <v>402</v>
      </c>
      <c r="V3" t="s">
        <v>402</v>
      </c>
      <c r="W3" t="s">
        <v>771</v>
      </c>
      <c r="X3" t="s">
        <v>771</v>
      </c>
      <c r="Y3" t="s">
        <v>771</v>
      </c>
      <c r="Z3" t="s">
        <v>771</v>
      </c>
      <c r="AA3" t="s">
        <v>771</v>
      </c>
      <c r="AB3" t="s">
        <v>402</v>
      </c>
    </row>
    <row r="4" spans="1:31" x14ac:dyDescent="0.35">
      <c r="C4" t="s">
        <v>772</v>
      </c>
      <c r="D4" t="s">
        <v>773</v>
      </c>
      <c r="E4" t="s">
        <v>774</v>
      </c>
      <c r="F4" t="s">
        <v>775</v>
      </c>
      <c r="G4" t="s">
        <v>776</v>
      </c>
      <c r="H4" t="s">
        <v>777</v>
      </c>
      <c r="I4" t="s">
        <v>778</v>
      </c>
      <c r="J4" t="s">
        <v>779</v>
      </c>
      <c r="K4" t="s">
        <v>1376</v>
      </c>
      <c r="L4" t="s">
        <v>1377</v>
      </c>
      <c r="M4" t="s">
        <v>780</v>
      </c>
      <c r="N4" t="s">
        <v>781</v>
      </c>
      <c r="O4" t="s">
        <v>782</v>
      </c>
      <c r="P4" t="s">
        <v>783</v>
      </c>
      <c r="Q4" t="s">
        <v>784</v>
      </c>
      <c r="R4" t="s">
        <v>785</v>
      </c>
      <c r="S4" t="s">
        <v>786</v>
      </c>
      <c r="T4" t="s">
        <v>414</v>
      </c>
      <c r="U4" t="s">
        <v>415</v>
      </c>
      <c r="V4" t="s">
        <v>416</v>
      </c>
      <c r="W4" t="s">
        <v>787</v>
      </c>
      <c r="X4" t="s">
        <v>788</v>
      </c>
      <c r="Y4" t="s">
        <v>789</v>
      </c>
      <c r="Z4" t="s">
        <v>790</v>
      </c>
      <c r="AA4" t="s">
        <v>791</v>
      </c>
      <c r="AB4" t="s">
        <v>792</v>
      </c>
    </row>
    <row r="5" spans="1:31" x14ac:dyDescent="0.35">
      <c r="A5" t="s">
        <v>1388</v>
      </c>
      <c r="B5" s="3"/>
      <c r="C5" s="3"/>
      <c r="D5" s="3"/>
      <c r="E5" s="3"/>
      <c r="F5" s="3"/>
      <c r="G5" s="3"/>
      <c r="H5" s="3"/>
      <c r="I5" s="3"/>
      <c r="J5" s="3"/>
      <c r="K5" s="3"/>
      <c r="L5" s="3"/>
      <c r="M5" s="3"/>
      <c r="N5" s="3"/>
      <c r="O5" s="3"/>
      <c r="P5" s="3"/>
      <c r="Q5" s="3"/>
      <c r="R5" s="3"/>
      <c r="S5" s="3"/>
      <c r="T5" s="3"/>
      <c r="U5" s="3"/>
      <c r="V5" s="3">
        <v>1</v>
      </c>
      <c r="W5" s="3"/>
      <c r="X5" s="3"/>
      <c r="AD5" t="s">
        <v>418</v>
      </c>
      <c r="AE5" s="3" t="s">
        <v>1389</v>
      </c>
    </row>
    <row r="6" spans="1:31" x14ac:dyDescent="0.35">
      <c r="A6" t="s">
        <v>739</v>
      </c>
      <c r="B6">
        <v>2023</v>
      </c>
      <c r="C6">
        <v>2849010</v>
      </c>
      <c r="D6">
        <v>151100</v>
      </c>
      <c r="E6">
        <v>52236</v>
      </c>
      <c r="F6">
        <v>0</v>
      </c>
      <c r="G6">
        <v>0</v>
      </c>
      <c r="H6">
        <v>0</v>
      </c>
      <c r="I6">
        <v>0</v>
      </c>
      <c r="J6">
        <v>0</v>
      </c>
      <c r="K6">
        <v>629739</v>
      </c>
      <c r="L6">
        <v>816389</v>
      </c>
      <c r="M6">
        <v>295823</v>
      </c>
      <c r="N6">
        <v>2874711</v>
      </c>
      <c r="O6">
        <v>0</v>
      </c>
      <c r="P6">
        <v>0</v>
      </c>
      <c r="Q6">
        <v>151100</v>
      </c>
      <c r="R6">
        <v>0</v>
      </c>
      <c r="S6">
        <v>0</v>
      </c>
      <c r="T6">
        <v>0</v>
      </c>
      <c r="U6">
        <v>0</v>
      </c>
      <c r="V6">
        <v>1</v>
      </c>
      <c r="W6">
        <v>407597</v>
      </c>
      <c r="X6">
        <v>38512</v>
      </c>
      <c r="Y6">
        <v>6304</v>
      </c>
      <c r="Z6">
        <v>10054</v>
      </c>
      <c r="AA6">
        <v>5718989</v>
      </c>
      <c r="AB6">
        <v>260866</v>
      </c>
      <c r="AD6" t="s">
        <v>793</v>
      </c>
      <c r="AE6" t="s">
        <v>1390</v>
      </c>
    </row>
    <row r="7" spans="1:31" x14ac:dyDescent="0.35">
      <c r="A7" t="s">
        <v>724</v>
      </c>
      <c r="B7">
        <v>2023</v>
      </c>
      <c r="C7">
        <v>3210501</v>
      </c>
      <c r="D7">
        <v>318534</v>
      </c>
      <c r="E7">
        <v>38713</v>
      </c>
      <c r="F7">
        <v>0</v>
      </c>
      <c r="G7">
        <v>0</v>
      </c>
      <c r="H7">
        <v>0</v>
      </c>
      <c r="I7">
        <v>0</v>
      </c>
      <c r="J7">
        <v>0</v>
      </c>
      <c r="K7">
        <v>0</v>
      </c>
      <c r="L7">
        <v>585</v>
      </c>
      <c r="M7">
        <v>0</v>
      </c>
      <c r="N7">
        <v>2426295</v>
      </c>
      <c r="O7">
        <v>108938</v>
      </c>
      <c r="P7">
        <v>66456</v>
      </c>
      <c r="Q7">
        <v>143140</v>
      </c>
      <c r="R7">
        <v>0</v>
      </c>
      <c r="S7">
        <v>0</v>
      </c>
      <c r="T7">
        <v>0</v>
      </c>
      <c r="U7">
        <v>0</v>
      </c>
      <c r="V7">
        <v>1</v>
      </c>
      <c r="W7">
        <v>225192</v>
      </c>
      <c r="X7">
        <v>27306</v>
      </c>
      <c r="Y7">
        <v>2615</v>
      </c>
      <c r="Z7">
        <v>19055</v>
      </c>
      <c r="AA7">
        <v>2908545</v>
      </c>
      <c r="AB7">
        <v>85543</v>
      </c>
    </row>
    <row r="8" spans="1:31" x14ac:dyDescent="0.35">
      <c r="A8" t="s">
        <v>719</v>
      </c>
      <c r="B8">
        <v>2023</v>
      </c>
      <c r="C8">
        <v>2510247</v>
      </c>
      <c r="D8">
        <v>174452</v>
      </c>
      <c r="E8">
        <v>57788</v>
      </c>
      <c r="F8">
        <v>215000</v>
      </c>
      <c r="G8">
        <v>215000</v>
      </c>
      <c r="H8">
        <v>0</v>
      </c>
      <c r="I8">
        <v>0</v>
      </c>
      <c r="J8">
        <v>0</v>
      </c>
      <c r="K8">
        <v>238905</v>
      </c>
      <c r="L8">
        <v>452000</v>
      </c>
      <c r="M8">
        <v>0</v>
      </c>
      <c r="N8">
        <v>1665272</v>
      </c>
      <c r="O8">
        <v>174452</v>
      </c>
      <c r="P8">
        <v>0</v>
      </c>
      <c r="Q8">
        <v>0</v>
      </c>
      <c r="R8">
        <v>0</v>
      </c>
      <c r="S8">
        <v>0</v>
      </c>
      <c r="T8">
        <v>0</v>
      </c>
      <c r="U8">
        <v>0</v>
      </c>
      <c r="V8">
        <v>1</v>
      </c>
      <c r="W8">
        <v>183872</v>
      </c>
      <c r="X8">
        <v>13365</v>
      </c>
      <c r="Y8">
        <v>2114</v>
      </c>
      <c r="Z8">
        <v>5381</v>
      </c>
      <c r="AA8">
        <v>2746247</v>
      </c>
      <c r="AB8">
        <v>233178</v>
      </c>
    </row>
    <row r="9" spans="1:31" x14ac:dyDescent="0.35">
      <c r="A9" t="s">
        <v>731</v>
      </c>
      <c r="B9">
        <v>2023</v>
      </c>
      <c r="C9">
        <v>2324492</v>
      </c>
      <c r="D9">
        <v>72460</v>
      </c>
      <c r="E9">
        <v>0</v>
      </c>
      <c r="F9">
        <v>0</v>
      </c>
      <c r="G9">
        <v>0</v>
      </c>
      <c r="H9">
        <v>0</v>
      </c>
      <c r="I9">
        <v>0</v>
      </c>
      <c r="J9">
        <v>0</v>
      </c>
      <c r="K9">
        <v>0</v>
      </c>
      <c r="L9">
        <v>0</v>
      </c>
      <c r="M9">
        <v>1485703</v>
      </c>
      <c r="N9">
        <v>1650428</v>
      </c>
      <c r="O9">
        <v>72460</v>
      </c>
      <c r="P9">
        <v>0</v>
      </c>
      <c r="Q9">
        <v>0</v>
      </c>
      <c r="R9">
        <v>0</v>
      </c>
      <c r="S9">
        <v>0</v>
      </c>
      <c r="T9">
        <v>0</v>
      </c>
      <c r="U9">
        <v>0</v>
      </c>
      <c r="V9">
        <v>1</v>
      </c>
      <c r="W9">
        <v>282474</v>
      </c>
      <c r="X9">
        <v>27994</v>
      </c>
      <c r="Y9">
        <v>2022</v>
      </c>
      <c r="Z9">
        <v>3587</v>
      </c>
      <c r="AA9">
        <v>3616111</v>
      </c>
      <c r="AB9">
        <v>0</v>
      </c>
    </row>
    <row r="10" spans="1:31" x14ac:dyDescent="0.35">
      <c r="A10" t="s">
        <v>665</v>
      </c>
      <c r="B10">
        <v>2023</v>
      </c>
      <c r="C10">
        <v>23211127</v>
      </c>
      <c r="D10">
        <v>540300</v>
      </c>
      <c r="E10">
        <v>2891000</v>
      </c>
      <c r="F10">
        <v>36563479</v>
      </c>
      <c r="G10" t="s">
        <v>420</v>
      </c>
      <c r="H10" t="s">
        <v>420</v>
      </c>
      <c r="I10">
        <v>36563479</v>
      </c>
      <c r="J10" t="s">
        <v>420</v>
      </c>
      <c r="K10">
        <v>633000</v>
      </c>
      <c r="L10">
        <v>14163000</v>
      </c>
      <c r="M10" t="s">
        <v>420</v>
      </c>
      <c r="N10">
        <v>45370937</v>
      </c>
      <c r="O10">
        <v>509000</v>
      </c>
      <c r="P10">
        <v>0</v>
      </c>
      <c r="Q10">
        <v>31300</v>
      </c>
      <c r="R10">
        <v>0</v>
      </c>
      <c r="S10">
        <v>0</v>
      </c>
      <c r="T10" t="s">
        <v>420</v>
      </c>
      <c r="U10" t="s">
        <v>420</v>
      </c>
      <c r="V10">
        <v>2</v>
      </c>
      <c r="W10">
        <v>5349345</v>
      </c>
      <c r="X10">
        <v>717683</v>
      </c>
      <c r="Y10">
        <v>158455</v>
      </c>
      <c r="Z10">
        <v>0</v>
      </c>
      <c r="AA10">
        <v>60674647</v>
      </c>
      <c r="AB10">
        <v>12414681</v>
      </c>
    </row>
    <row r="11" spans="1:31" x14ac:dyDescent="0.35">
      <c r="A11" t="s">
        <v>675</v>
      </c>
      <c r="B11">
        <v>2023</v>
      </c>
      <c r="C11">
        <v>11090183</v>
      </c>
      <c r="D11">
        <v>269574</v>
      </c>
      <c r="E11">
        <v>2561191</v>
      </c>
      <c r="F11">
        <v>18989060</v>
      </c>
      <c r="G11" t="s">
        <v>420</v>
      </c>
      <c r="H11" t="s">
        <v>420</v>
      </c>
      <c r="I11">
        <v>18989060</v>
      </c>
      <c r="J11">
        <v>0</v>
      </c>
      <c r="K11">
        <v>0</v>
      </c>
      <c r="L11">
        <v>11095000</v>
      </c>
      <c r="M11">
        <v>0</v>
      </c>
      <c r="N11">
        <v>13237435</v>
      </c>
      <c r="O11">
        <v>80000</v>
      </c>
      <c r="P11">
        <v>101434</v>
      </c>
      <c r="Q11">
        <v>88140</v>
      </c>
      <c r="R11">
        <v>0</v>
      </c>
      <c r="S11">
        <v>0</v>
      </c>
      <c r="T11" t="s">
        <v>420</v>
      </c>
      <c r="U11" t="s">
        <v>420</v>
      </c>
      <c r="V11">
        <v>2</v>
      </c>
      <c r="W11">
        <v>1241741</v>
      </c>
      <c r="X11">
        <v>174587</v>
      </c>
      <c r="Y11">
        <v>2166</v>
      </c>
      <c r="Z11">
        <v>0</v>
      </c>
      <c r="AA11">
        <v>14880284</v>
      </c>
      <c r="AB11">
        <v>4272077</v>
      </c>
    </row>
    <row r="12" spans="1:31" x14ac:dyDescent="0.35">
      <c r="A12" t="s">
        <v>722</v>
      </c>
      <c r="B12">
        <v>2023</v>
      </c>
      <c r="C12">
        <v>3097408</v>
      </c>
      <c r="D12">
        <v>0</v>
      </c>
      <c r="E12">
        <v>0</v>
      </c>
      <c r="F12">
        <v>0</v>
      </c>
      <c r="G12" t="s">
        <v>420</v>
      </c>
      <c r="H12" t="s">
        <v>420</v>
      </c>
      <c r="I12" t="s">
        <v>420</v>
      </c>
      <c r="J12" t="s">
        <v>420</v>
      </c>
      <c r="K12" t="s">
        <v>420</v>
      </c>
      <c r="L12">
        <v>0</v>
      </c>
      <c r="M12">
        <v>0</v>
      </c>
      <c r="N12">
        <v>4463555</v>
      </c>
      <c r="O12" t="s">
        <v>420</v>
      </c>
      <c r="P12" t="s">
        <v>420</v>
      </c>
      <c r="Q12" t="s">
        <v>420</v>
      </c>
      <c r="R12" t="s">
        <v>420</v>
      </c>
      <c r="S12" t="s">
        <v>420</v>
      </c>
      <c r="T12" t="s">
        <v>420</v>
      </c>
      <c r="U12" t="s">
        <v>420</v>
      </c>
      <c r="V12">
        <v>1</v>
      </c>
      <c r="W12">
        <v>557915</v>
      </c>
      <c r="X12">
        <v>72624</v>
      </c>
      <c r="Y12">
        <v>11354</v>
      </c>
      <c r="Z12">
        <v>12613</v>
      </c>
      <c r="AA12">
        <v>7136367</v>
      </c>
      <c r="AB12" t="s">
        <v>420</v>
      </c>
    </row>
    <row r="13" spans="1:31" x14ac:dyDescent="0.35">
      <c r="A13" t="s">
        <v>700</v>
      </c>
      <c r="B13">
        <v>2023</v>
      </c>
      <c r="C13">
        <v>1659155</v>
      </c>
      <c r="D13">
        <v>116519</v>
      </c>
      <c r="E13">
        <v>75666</v>
      </c>
      <c r="F13">
        <v>0</v>
      </c>
      <c r="G13">
        <v>0</v>
      </c>
      <c r="H13" t="s">
        <v>420</v>
      </c>
      <c r="I13">
        <v>0</v>
      </c>
      <c r="J13" t="s">
        <v>420</v>
      </c>
      <c r="K13">
        <v>161977</v>
      </c>
      <c r="L13">
        <v>0</v>
      </c>
      <c r="M13">
        <v>0</v>
      </c>
      <c r="N13">
        <v>1641524</v>
      </c>
      <c r="O13">
        <v>116519</v>
      </c>
      <c r="P13">
        <v>0</v>
      </c>
      <c r="Q13">
        <v>0</v>
      </c>
      <c r="R13">
        <v>0</v>
      </c>
      <c r="S13">
        <v>0</v>
      </c>
      <c r="T13" t="s">
        <v>420</v>
      </c>
      <c r="U13" t="s">
        <v>420</v>
      </c>
      <c r="V13">
        <v>2</v>
      </c>
      <c r="W13">
        <v>261209</v>
      </c>
      <c r="X13">
        <v>25998</v>
      </c>
      <c r="Y13">
        <v>10440</v>
      </c>
      <c r="Z13">
        <v>2910</v>
      </c>
      <c r="AA13">
        <v>3948099</v>
      </c>
      <c r="AB13">
        <v>0</v>
      </c>
    </row>
    <row r="14" spans="1:31" x14ac:dyDescent="0.35">
      <c r="A14" t="s">
        <v>748</v>
      </c>
      <c r="B14">
        <v>2023</v>
      </c>
      <c r="C14">
        <v>1635924</v>
      </c>
      <c r="D14">
        <v>104445</v>
      </c>
      <c r="E14">
        <v>68240</v>
      </c>
      <c r="F14">
        <v>0</v>
      </c>
      <c r="G14">
        <v>0</v>
      </c>
      <c r="H14">
        <v>0</v>
      </c>
      <c r="I14">
        <v>0</v>
      </c>
      <c r="J14" t="s">
        <v>420</v>
      </c>
      <c r="K14">
        <v>249597</v>
      </c>
      <c r="L14">
        <v>5000</v>
      </c>
      <c r="M14">
        <v>0</v>
      </c>
      <c r="N14">
        <v>1183603</v>
      </c>
      <c r="O14">
        <v>0</v>
      </c>
      <c r="P14">
        <v>104445</v>
      </c>
      <c r="Q14">
        <v>0</v>
      </c>
      <c r="R14">
        <v>0</v>
      </c>
      <c r="S14">
        <v>0</v>
      </c>
      <c r="T14">
        <v>0</v>
      </c>
      <c r="U14">
        <v>0</v>
      </c>
      <c r="V14">
        <v>1</v>
      </c>
      <c r="W14">
        <v>112268</v>
      </c>
      <c r="X14">
        <v>17438</v>
      </c>
      <c r="Y14">
        <v>3625</v>
      </c>
      <c r="Z14">
        <v>3655</v>
      </c>
      <c r="AA14">
        <v>2141327</v>
      </c>
      <c r="AB14">
        <v>0</v>
      </c>
    </row>
    <row r="15" spans="1:31" x14ac:dyDescent="0.35">
      <c r="A15" t="s">
        <v>727</v>
      </c>
      <c r="B15">
        <v>2023</v>
      </c>
      <c r="C15">
        <v>8600259</v>
      </c>
      <c r="D15">
        <v>604206</v>
      </c>
      <c r="E15">
        <v>3596908</v>
      </c>
      <c r="F15">
        <v>1470403</v>
      </c>
      <c r="G15">
        <v>1470403</v>
      </c>
      <c r="H15">
        <v>0</v>
      </c>
      <c r="I15">
        <v>0</v>
      </c>
      <c r="J15">
        <v>0</v>
      </c>
      <c r="K15">
        <v>40571</v>
      </c>
      <c r="L15">
        <v>4168810</v>
      </c>
      <c r="M15">
        <v>0</v>
      </c>
      <c r="N15">
        <v>8606141</v>
      </c>
      <c r="O15">
        <v>497242</v>
      </c>
      <c r="P15">
        <v>106964</v>
      </c>
      <c r="Q15">
        <v>0</v>
      </c>
      <c r="R15">
        <v>0</v>
      </c>
      <c r="S15">
        <v>0</v>
      </c>
      <c r="T15">
        <v>0</v>
      </c>
      <c r="U15">
        <v>0</v>
      </c>
      <c r="V15">
        <v>1</v>
      </c>
      <c r="W15">
        <v>827827</v>
      </c>
      <c r="X15">
        <v>91780</v>
      </c>
      <c r="Y15">
        <v>29227</v>
      </c>
      <c r="Z15">
        <v>24374</v>
      </c>
      <c r="AA15">
        <v>12935649</v>
      </c>
      <c r="AB15">
        <v>1426509</v>
      </c>
    </row>
    <row r="16" spans="1:31" x14ac:dyDescent="0.35">
      <c r="A16" t="s">
        <v>743</v>
      </c>
      <c r="B16">
        <v>2023</v>
      </c>
      <c r="C16">
        <v>2283147</v>
      </c>
      <c r="D16">
        <v>0</v>
      </c>
      <c r="E16">
        <v>599295</v>
      </c>
      <c r="F16">
        <v>0</v>
      </c>
      <c r="G16">
        <v>0</v>
      </c>
      <c r="H16">
        <v>0</v>
      </c>
      <c r="I16">
        <v>0</v>
      </c>
      <c r="J16">
        <v>0</v>
      </c>
      <c r="K16">
        <v>941851</v>
      </c>
      <c r="L16">
        <v>0</v>
      </c>
      <c r="M16">
        <v>0</v>
      </c>
      <c r="N16">
        <v>3731868</v>
      </c>
      <c r="O16">
        <v>0</v>
      </c>
      <c r="P16">
        <v>0</v>
      </c>
      <c r="Q16">
        <v>0</v>
      </c>
      <c r="R16">
        <v>0</v>
      </c>
      <c r="S16">
        <v>0</v>
      </c>
      <c r="T16">
        <v>0</v>
      </c>
      <c r="U16">
        <v>19365180</v>
      </c>
      <c r="V16">
        <v>1</v>
      </c>
      <c r="W16">
        <v>441664</v>
      </c>
      <c r="X16">
        <v>54086</v>
      </c>
      <c r="Y16">
        <v>4895</v>
      </c>
      <c r="Z16">
        <v>11384</v>
      </c>
      <c r="AA16">
        <v>4618220</v>
      </c>
      <c r="AB16">
        <v>710128</v>
      </c>
    </row>
    <row r="17" spans="1:28" x14ac:dyDescent="0.35">
      <c r="A17" t="s">
        <v>548</v>
      </c>
      <c r="B17">
        <v>2023</v>
      </c>
      <c r="C17">
        <v>0</v>
      </c>
      <c r="D17">
        <v>0</v>
      </c>
      <c r="E17">
        <v>0</v>
      </c>
      <c r="F17">
        <v>0</v>
      </c>
      <c r="G17" t="s">
        <v>420</v>
      </c>
      <c r="H17" t="s">
        <v>420</v>
      </c>
      <c r="I17" t="s">
        <v>420</v>
      </c>
      <c r="J17" t="s">
        <v>420</v>
      </c>
      <c r="K17" t="s">
        <v>420</v>
      </c>
      <c r="L17">
        <v>0</v>
      </c>
      <c r="M17">
        <v>0</v>
      </c>
      <c r="N17">
        <v>0</v>
      </c>
      <c r="O17" t="s">
        <v>420</v>
      </c>
      <c r="P17" t="s">
        <v>420</v>
      </c>
      <c r="Q17" t="s">
        <v>420</v>
      </c>
      <c r="R17" t="s">
        <v>420</v>
      </c>
      <c r="S17" t="s">
        <v>420</v>
      </c>
      <c r="T17" t="s">
        <v>420</v>
      </c>
      <c r="U17" t="s">
        <v>420</v>
      </c>
      <c r="V17">
        <v>1</v>
      </c>
      <c r="W17" t="s">
        <v>420</v>
      </c>
      <c r="X17" t="s">
        <v>420</v>
      </c>
      <c r="Y17" t="s">
        <v>420</v>
      </c>
      <c r="Z17" t="s">
        <v>420</v>
      </c>
      <c r="AA17" t="s">
        <v>420</v>
      </c>
      <c r="AB17" t="s">
        <v>420</v>
      </c>
    </row>
    <row r="18" spans="1:28" x14ac:dyDescent="0.35">
      <c r="A18" t="s">
        <v>740</v>
      </c>
      <c r="B18">
        <v>2023</v>
      </c>
      <c r="C18">
        <v>1916303</v>
      </c>
      <c r="D18">
        <v>71080</v>
      </c>
      <c r="E18">
        <v>0</v>
      </c>
      <c r="F18">
        <v>0</v>
      </c>
      <c r="G18">
        <v>0</v>
      </c>
      <c r="H18">
        <v>0</v>
      </c>
      <c r="I18">
        <v>0</v>
      </c>
      <c r="J18" t="s">
        <v>420</v>
      </c>
      <c r="K18">
        <v>0</v>
      </c>
      <c r="L18">
        <v>0</v>
      </c>
      <c r="M18">
        <v>0</v>
      </c>
      <c r="N18">
        <v>1665219</v>
      </c>
      <c r="O18">
        <v>61840</v>
      </c>
      <c r="P18">
        <v>9240</v>
      </c>
      <c r="Q18">
        <v>0</v>
      </c>
      <c r="R18">
        <v>0</v>
      </c>
      <c r="S18">
        <v>0</v>
      </c>
      <c r="T18">
        <v>0</v>
      </c>
      <c r="U18">
        <v>0</v>
      </c>
      <c r="V18">
        <v>1</v>
      </c>
      <c r="W18">
        <v>207016</v>
      </c>
      <c r="X18">
        <v>12773</v>
      </c>
      <c r="Y18">
        <v>4656</v>
      </c>
      <c r="Z18">
        <v>9095</v>
      </c>
      <c r="AA18">
        <v>2720700</v>
      </c>
      <c r="AB18">
        <v>0</v>
      </c>
    </row>
    <row r="19" spans="1:28" x14ac:dyDescent="0.35">
      <c r="A19" t="s">
        <v>711</v>
      </c>
      <c r="B19">
        <v>2023</v>
      </c>
      <c r="C19">
        <v>3654859</v>
      </c>
      <c r="D19">
        <v>203910</v>
      </c>
      <c r="E19">
        <v>2863877</v>
      </c>
      <c r="F19">
        <v>0</v>
      </c>
      <c r="G19">
        <v>0</v>
      </c>
      <c r="H19" t="s">
        <v>420</v>
      </c>
      <c r="I19">
        <v>0</v>
      </c>
      <c r="J19">
        <v>0</v>
      </c>
      <c r="K19">
        <v>0</v>
      </c>
      <c r="L19">
        <v>3676897</v>
      </c>
      <c r="M19">
        <v>0</v>
      </c>
      <c r="N19">
        <v>2137806</v>
      </c>
      <c r="O19">
        <v>0</v>
      </c>
      <c r="P19">
        <v>203910</v>
      </c>
      <c r="Q19">
        <v>0</v>
      </c>
      <c r="R19">
        <v>0</v>
      </c>
      <c r="S19">
        <v>0</v>
      </c>
      <c r="T19" t="s">
        <v>420</v>
      </c>
      <c r="U19" t="s">
        <v>420</v>
      </c>
      <c r="V19">
        <v>2</v>
      </c>
      <c r="W19">
        <v>179432</v>
      </c>
      <c r="X19">
        <v>18725</v>
      </c>
      <c r="Y19">
        <v>2337</v>
      </c>
      <c r="Z19">
        <v>4407</v>
      </c>
      <c r="AA19">
        <v>2588754</v>
      </c>
      <c r="AB19">
        <v>1205990</v>
      </c>
    </row>
    <row r="20" spans="1:28" x14ac:dyDescent="0.35">
      <c r="A20" t="s">
        <v>718</v>
      </c>
      <c r="B20">
        <v>2023</v>
      </c>
      <c r="C20">
        <v>2449359</v>
      </c>
      <c r="D20">
        <v>0</v>
      </c>
      <c r="E20">
        <v>0</v>
      </c>
      <c r="F20">
        <v>0</v>
      </c>
      <c r="G20">
        <v>0</v>
      </c>
      <c r="H20">
        <v>0</v>
      </c>
      <c r="I20">
        <v>0</v>
      </c>
      <c r="J20">
        <v>0</v>
      </c>
      <c r="K20">
        <v>33610</v>
      </c>
      <c r="L20">
        <v>33610</v>
      </c>
      <c r="M20">
        <v>0</v>
      </c>
      <c r="N20">
        <v>2240281</v>
      </c>
      <c r="O20">
        <v>0</v>
      </c>
      <c r="P20">
        <v>0</v>
      </c>
      <c r="Q20">
        <v>0</v>
      </c>
      <c r="R20">
        <v>0</v>
      </c>
      <c r="S20">
        <v>0</v>
      </c>
      <c r="T20">
        <v>0</v>
      </c>
      <c r="U20">
        <v>0</v>
      </c>
      <c r="V20">
        <v>1</v>
      </c>
      <c r="W20">
        <v>217743</v>
      </c>
      <c r="X20">
        <v>25308</v>
      </c>
      <c r="Y20">
        <v>4021</v>
      </c>
      <c r="Z20">
        <v>6713</v>
      </c>
      <c r="AA20">
        <v>2278457</v>
      </c>
      <c r="AB20">
        <v>0</v>
      </c>
    </row>
    <row r="21" spans="1:28" x14ac:dyDescent="0.35">
      <c r="A21" t="s">
        <v>705</v>
      </c>
      <c r="B21">
        <v>2023</v>
      </c>
      <c r="C21">
        <v>4085776</v>
      </c>
      <c r="D21">
        <v>568788</v>
      </c>
      <c r="E21">
        <v>781700</v>
      </c>
      <c r="F21">
        <v>0</v>
      </c>
      <c r="G21">
        <v>0</v>
      </c>
      <c r="H21">
        <v>0</v>
      </c>
      <c r="I21">
        <v>0</v>
      </c>
      <c r="J21">
        <v>0</v>
      </c>
      <c r="K21">
        <v>0</v>
      </c>
      <c r="L21">
        <v>0</v>
      </c>
      <c r="M21">
        <v>1</v>
      </c>
      <c r="N21">
        <v>2979995</v>
      </c>
      <c r="O21">
        <v>0</v>
      </c>
      <c r="P21">
        <v>568788</v>
      </c>
      <c r="Q21">
        <v>0</v>
      </c>
      <c r="R21">
        <v>0</v>
      </c>
      <c r="S21">
        <v>0</v>
      </c>
      <c r="T21">
        <v>0</v>
      </c>
      <c r="U21">
        <v>0</v>
      </c>
      <c r="V21">
        <v>2</v>
      </c>
      <c r="W21">
        <v>311151</v>
      </c>
      <c r="X21">
        <v>32754</v>
      </c>
      <c r="Y21">
        <v>4417</v>
      </c>
      <c r="Z21">
        <v>4826</v>
      </c>
      <c r="AA21">
        <v>4189364</v>
      </c>
      <c r="AB21">
        <v>33368</v>
      </c>
    </row>
    <row r="22" spans="1:28" x14ac:dyDescent="0.35">
      <c r="A22" t="s">
        <v>706</v>
      </c>
      <c r="B22">
        <v>2023</v>
      </c>
      <c r="C22">
        <v>1740186</v>
      </c>
      <c r="D22">
        <v>0</v>
      </c>
      <c r="E22">
        <v>0</v>
      </c>
      <c r="F22">
        <v>0</v>
      </c>
      <c r="G22">
        <v>0</v>
      </c>
      <c r="H22">
        <v>0</v>
      </c>
      <c r="I22">
        <v>0</v>
      </c>
      <c r="J22">
        <v>0</v>
      </c>
      <c r="K22">
        <v>0</v>
      </c>
      <c r="L22">
        <v>0</v>
      </c>
      <c r="M22">
        <v>0</v>
      </c>
      <c r="N22">
        <v>1050016</v>
      </c>
      <c r="O22">
        <v>0</v>
      </c>
      <c r="P22">
        <v>0</v>
      </c>
      <c r="Q22">
        <v>0</v>
      </c>
      <c r="R22">
        <v>0</v>
      </c>
      <c r="S22">
        <v>0</v>
      </c>
      <c r="T22">
        <v>0</v>
      </c>
      <c r="U22">
        <v>0</v>
      </c>
      <c r="V22">
        <v>2</v>
      </c>
      <c r="W22">
        <v>105437</v>
      </c>
      <c r="X22">
        <v>8509</v>
      </c>
      <c r="Y22">
        <v>1320</v>
      </c>
      <c r="Z22">
        <v>498</v>
      </c>
      <c r="AA22">
        <v>1278151</v>
      </c>
      <c r="AB22">
        <v>0</v>
      </c>
    </row>
    <row r="23" spans="1:28" x14ac:dyDescent="0.35">
      <c r="A23" t="s">
        <v>701</v>
      </c>
      <c r="B23">
        <v>2023</v>
      </c>
      <c r="C23">
        <v>4854922</v>
      </c>
      <c r="D23">
        <v>95542</v>
      </c>
      <c r="E23">
        <v>1132875</v>
      </c>
      <c r="F23">
        <v>0</v>
      </c>
      <c r="G23">
        <v>0</v>
      </c>
      <c r="H23">
        <v>0</v>
      </c>
      <c r="I23">
        <v>0</v>
      </c>
      <c r="J23">
        <v>0</v>
      </c>
      <c r="K23">
        <v>0</v>
      </c>
      <c r="L23">
        <v>0</v>
      </c>
      <c r="M23">
        <v>0</v>
      </c>
      <c r="N23">
        <v>3923029</v>
      </c>
      <c r="O23">
        <v>88250</v>
      </c>
      <c r="P23">
        <v>7292</v>
      </c>
      <c r="Q23">
        <v>0</v>
      </c>
      <c r="R23">
        <v>0</v>
      </c>
      <c r="S23">
        <v>0</v>
      </c>
      <c r="T23">
        <v>2123000</v>
      </c>
      <c r="U23">
        <v>0</v>
      </c>
      <c r="V23">
        <v>2</v>
      </c>
      <c r="W23">
        <v>430576</v>
      </c>
      <c r="X23">
        <v>32043</v>
      </c>
      <c r="Y23">
        <v>4673</v>
      </c>
      <c r="Z23">
        <v>8296</v>
      </c>
      <c r="AA23">
        <v>5692662</v>
      </c>
      <c r="AB23">
        <v>815409</v>
      </c>
    </row>
    <row r="24" spans="1:28" x14ac:dyDescent="0.35">
      <c r="A24" t="s">
        <v>691</v>
      </c>
      <c r="B24">
        <v>2023</v>
      </c>
      <c r="C24">
        <v>2762934</v>
      </c>
      <c r="D24">
        <v>432333</v>
      </c>
      <c r="E24">
        <v>433713</v>
      </c>
      <c r="F24">
        <v>0</v>
      </c>
      <c r="G24">
        <v>0</v>
      </c>
      <c r="H24">
        <v>0</v>
      </c>
      <c r="I24">
        <v>0</v>
      </c>
      <c r="J24">
        <v>0</v>
      </c>
      <c r="K24">
        <v>8914</v>
      </c>
      <c r="L24">
        <v>3288318</v>
      </c>
      <c r="M24">
        <v>0</v>
      </c>
      <c r="N24">
        <v>2930348</v>
      </c>
      <c r="O24">
        <v>143790</v>
      </c>
      <c r="P24">
        <v>288543</v>
      </c>
      <c r="Q24">
        <v>0</v>
      </c>
      <c r="R24">
        <v>0</v>
      </c>
      <c r="S24">
        <v>0</v>
      </c>
      <c r="T24">
        <v>0</v>
      </c>
      <c r="U24">
        <v>0</v>
      </c>
      <c r="V24">
        <v>2</v>
      </c>
      <c r="W24">
        <v>269647</v>
      </c>
      <c r="X24">
        <v>51275</v>
      </c>
      <c r="Y24">
        <v>7413</v>
      </c>
      <c r="Z24">
        <v>3007</v>
      </c>
      <c r="AA24">
        <v>3627173</v>
      </c>
      <c r="AB24">
        <v>298938</v>
      </c>
    </row>
    <row r="25" spans="1:28" x14ac:dyDescent="0.35">
      <c r="A25" t="s">
        <v>696</v>
      </c>
      <c r="B25">
        <v>2023</v>
      </c>
      <c r="C25">
        <v>1448913</v>
      </c>
      <c r="D25">
        <v>19654</v>
      </c>
      <c r="E25">
        <v>0</v>
      </c>
      <c r="F25">
        <v>0</v>
      </c>
      <c r="G25">
        <v>0</v>
      </c>
      <c r="H25">
        <v>0</v>
      </c>
      <c r="I25">
        <v>0</v>
      </c>
      <c r="J25">
        <v>0</v>
      </c>
      <c r="K25">
        <v>0</v>
      </c>
      <c r="L25">
        <v>0</v>
      </c>
      <c r="M25">
        <v>0</v>
      </c>
      <c r="N25">
        <v>1363371</v>
      </c>
      <c r="O25">
        <v>0</v>
      </c>
      <c r="P25">
        <v>19654</v>
      </c>
      <c r="Q25">
        <v>0</v>
      </c>
      <c r="R25">
        <v>0</v>
      </c>
      <c r="S25">
        <v>0</v>
      </c>
      <c r="T25">
        <v>0</v>
      </c>
      <c r="U25">
        <v>0</v>
      </c>
      <c r="V25">
        <v>2</v>
      </c>
      <c r="W25">
        <v>132250</v>
      </c>
      <c r="X25">
        <v>11917</v>
      </c>
      <c r="Y25">
        <v>55</v>
      </c>
      <c r="Z25">
        <v>4866</v>
      </c>
      <c r="AA25">
        <v>1468934</v>
      </c>
      <c r="AB25">
        <v>0</v>
      </c>
    </row>
    <row r="26" spans="1:28" x14ac:dyDescent="0.35">
      <c r="A26" t="s">
        <v>729</v>
      </c>
      <c r="B26">
        <v>2023</v>
      </c>
      <c r="C26">
        <v>3482000</v>
      </c>
      <c r="D26">
        <v>30914</v>
      </c>
      <c r="E26">
        <v>1397000</v>
      </c>
      <c r="F26">
        <v>701000</v>
      </c>
      <c r="G26">
        <v>701000</v>
      </c>
      <c r="H26">
        <v>0</v>
      </c>
      <c r="I26">
        <v>0</v>
      </c>
      <c r="J26">
        <v>0</v>
      </c>
      <c r="K26">
        <v>0</v>
      </c>
      <c r="L26">
        <v>1996160</v>
      </c>
      <c r="M26">
        <v>0</v>
      </c>
      <c r="N26">
        <v>4588000</v>
      </c>
      <c r="O26">
        <v>0</v>
      </c>
      <c r="P26">
        <v>30914</v>
      </c>
      <c r="Q26">
        <v>0</v>
      </c>
      <c r="R26">
        <v>0</v>
      </c>
      <c r="S26">
        <v>0</v>
      </c>
      <c r="T26">
        <v>0</v>
      </c>
      <c r="U26">
        <v>0</v>
      </c>
      <c r="V26">
        <v>1</v>
      </c>
      <c r="W26">
        <v>326795</v>
      </c>
      <c r="X26">
        <v>41603</v>
      </c>
      <c r="Y26">
        <v>5797</v>
      </c>
      <c r="Z26">
        <v>16205</v>
      </c>
      <c r="AA26">
        <v>4482241</v>
      </c>
      <c r="AB26">
        <v>856442</v>
      </c>
    </row>
    <row r="27" spans="1:28" x14ac:dyDescent="0.35">
      <c r="A27" t="s">
        <v>667</v>
      </c>
      <c r="B27">
        <v>2023</v>
      </c>
      <c r="C27" t="s">
        <v>420</v>
      </c>
      <c r="D27">
        <v>0</v>
      </c>
      <c r="E27">
        <v>0</v>
      </c>
      <c r="F27">
        <v>0</v>
      </c>
      <c r="G27" t="s">
        <v>420</v>
      </c>
      <c r="H27" t="s">
        <v>420</v>
      </c>
      <c r="I27" t="s">
        <v>420</v>
      </c>
      <c r="J27" t="s">
        <v>420</v>
      </c>
      <c r="K27">
        <v>0</v>
      </c>
      <c r="L27" t="s">
        <v>420</v>
      </c>
      <c r="M27" t="s">
        <v>420</v>
      </c>
      <c r="N27" t="s">
        <v>420</v>
      </c>
      <c r="O27" t="s">
        <v>420</v>
      </c>
      <c r="P27" t="s">
        <v>420</v>
      </c>
      <c r="Q27" t="s">
        <v>420</v>
      </c>
      <c r="R27" t="s">
        <v>420</v>
      </c>
      <c r="S27" t="s">
        <v>420</v>
      </c>
      <c r="T27" t="s">
        <v>420</v>
      </c>
      <c r="U27" t="s">
        <v>420</v>
      </c>
      <c r="V27">
        <v>2</v>
      </c>
      <c r="W27">
        <v>0</v>
      </c>
      <c r="X27">
        <v>0</v>
      </c>
      <c r="Y27">
        <v>0</v>
      </c>
      <c r="Z27">
        <v>0</v>
      </c>
      <c r="AA27">
        <v>0</v>
      </c>
      <c r="AB27" t="s">
        <v>420</v>
      </c>
    </row>
    <row r="28" spans="1:28" x14ac:dyDescent="0.35">
      <c r="A28" t="s">
        <v>749</v>
      </c>
      <c r="B28">
        <v>2023</v>
      </c>
      <c r="C28">
        <v>6179955</v>
      </c>
      <c r="D28">
        <v>0</v>
      </c>
      <c r="E28">
        <v>1897000</v>
      </c>
      <c r="F28">
        <v>2121000</v>
      </c>
      <c r="G28">
        <v>2121000</v>
      </c>
      <c r="H28">
        <v>0</v>
      </c>
      <c r="I28">
        <v>0</v>
      </c>
      <c r="J28">
        <v>0</v>
      </c>
      <c r="K28">
        <v>0</v>
      </c>
      <c r="L28">
        <v>2464000</v>
      </c>
      <c r="M28">
        <v>0</v>
      </c>
      <c r="N28">
        <v>3288717</v>
      </c>
      <c r="O28">
        <v>0</v>
      </c>
      <c r="P28">
        <v>0</v>
      </c>
      <c r="Q28">
        <v>0</v>
      </c>
      <c r="R28">
        <v>0</v>
      </c>
      <c r="S28">
        <v>0</v>
      </c>
      <c r="T28">
        <v>0</v>
      </c>
      <c r="U28">
        <v>0</v>
      </c>
      <c r="V28">
        <v>1</v>
      </c>
      <c r="W28">
        <v>676545</v>
      </c>
      <c r="X28">
        <v>133195</v>
      </c>
      <c r="Y28">
        <v>9295</v>
      </c>
      <c r="Z28">
        <v>3852</v>
      </c>
      <c r="AA28">
        <v>7868430</v>
      </c>
      <c r="AB28">
        <v>1699172</v>
      </c>
    </row>
    <row r="29" spans="1:28" x14ac:dyDescent="0.35">
      <c r="A29" t="s">
        <v>669</v>
      </c>
      <c r="B29">
        <v>2023</v>
      </c>
      <c r="C29" t="s">
        <v>420</v>
      </c>
      <c r="D29">
        <v>0</v>
      </c>
      <c r="E29">
        <v>0</v>
      </c>
      <c r="F29">
        <v>0</v>
      </c>
      <c r="G29" t="s">
        <v>420</v>
      </c>
      <c r="H29" t="s">
        <v>420</v>
      </c>
      <c r="I29" t="s">
        <v>420</v>
      </c>
      <c r="J29" t="s">
        <v>420</v>
      </c>
      <c r="K29">
        <v>0</v>
      </c>
      <c r="L29" t="s">
        <v>420</v>
      </c>
      <c r="M29" t="s">
        <v>420</v>
      </c>
      <c r="N29" t="s">
        <v>420</v>
      </c>
      <c r="O29" t="s">
        <v>420</v>
      </c>
      <c r="P29" t="s">
        <v>420</v>
      </c>
      <c r="Q29" t="s">
        <v>420</v>
      </c>
      <c r="R29" t="s">
        <v>420</v>
      </c>
      <c r="S29" t="s">
        <v>420</v>
      </c>
      <c r="T29" t="s">
        <v>420</v>
      </c>
      <c r="U29" t="s">
        <v>420</v>
      </c>
      <c r="V29">
        <v>2</v>
      </c>
      <c r="W29">
        <v>0</v>
      </c>
      <c r="X29">
        <v>0</v>
      </c>
      <c r="Y29">
        <v>0</v>
      </c>
      <c r="Z29">
        <v>1542</v>
      </c>
      <c r="AA29">
        <v>0</v>
      </c>
      <c r="AB29" t="s">
        <v>420</v>
      </c>
    </row>
    <row r="30" spans="1:28" x14ac:dyDescent="0.35">
      <c r="A30" t="s">
        <v>692</v>
      </c>
      <c r="B30">
        <v>2023</v>
      </c>
      <c r="C30">
        <v>3600000</v>
      </c>
      <c r="D30">
        <v>60736</v>
      </c>
      <c r="E30">
        <v>0</v>
      </c>
      <c r="F30">
        <v>0</v>
      </c>
      <c r="G30">
        <v>0</v>
      </c>
      <c r="H30">
        <v>0</v>
      </c>
      <c r="I30">
        <v>0</v>
      </c>
      <c r="J30">
        <v>0</v>
      </c>
      <c r="K30">
        <v>0</v>
      </c>
      <c r="L30">
        <v>0</v>
      </c>
      <c r="M30">
        <v>0</v>
      </c>
      <c r="N30">
        <v>1770266</v>
      </c>
      <c r="O30">
        <v>0</v>
      </c>
      <c r="P30">
        <v>34822</v>
      </c>
      <c r="Q30">
        <v>25914</v>
      </c>
      <c r="R30">
        <v>0</v>
      </c>
      <c r="S30">
        <v>0</v>
      </c>
      <c r="T30">
        <v>0</v>
      </c>
      <c r="U30">
        <v>0</v>
      </c>
      <c r="V30">
        <v>2</v>
      </c>
      <c r="W30">
        <v>207919</v>
      </c>
      <c r="X30">
        <v>25293</v>
      </c>
      <c r="Y30">
        <v>1758</v>
      </c>
      <c r="Z30">
        <v>2299</v>
      </c>
      <c r="AA30">
        <v>2789259</v>
      </c>
      <c r="AB30">
        <v>0</v>
      </c>
    </row>
    <row r="31" spans="1:28" x14ac:dyDescent="0.35">
      <c r="A31" t="s">
        <v>714</v>
      </c>
      <c r="B31">
        <v>2023</v>
      </c>
      <c r="C31">
        <v>2602909</v>
      </c>
      <c r="D31">
        <v>0</v>
      </c>
      <c r="E31">
        <v>0</v>
      </c>
      <c r="F31">
        <v>0</v>
      </c>
      <c r="G31" t="s">
        <v>420</v>
      </c>
      <c r="H31" t="s">
        <v>420</v>
      </c>
      <c r="I31" t="s">
        <v>420</v>
      </c>
      <c r="J31" t="s">
        <v>420</v>
      </c>
      <c r="K31" t="s">
        <v>420</v>
      </c>
      <c r="L31">
        <v>0</v>
      </c>
      <c r="M31">
        <v>0</v>
      </c>
      <c r="N31">
        <v>2588577</v>
      </c>
      <c r="O31" t="s">
        <v>420</v>
      </c>
      <c r="P31" t="s">
        <v>420</v>
      </c>
      <c r="Q31" t="s">
        <v>420</v>
      </c>
      <c r="R31" t="s">
        <v>420</v>
      </c>
      <c r="S31" t="s">
        <v>420</v>
      </c>
      <c r="T31" t="s">
        <v>420</v>
      </c>
      <c r="U31" t="s">
        <v>420</v>
      </c>
      <c r="V31">
        <v>2</v>
      </c>
      <c r="W31">
        <v>292953</v>
      </c>
      <c r="X31">
        <v>28223</v>
      </c>
      <c r="Y31">
        <v>6598</v>
      </c>
      <c r="Z31">
        <v>6904</v>
      </c>
      <c r="AA31">
        <v>3030881</v>
      </c>
      <c r="AB31" t="s">
        <v>420</v>
      </c>
    </row>
    <row r="32" spans="1:28" x14ac:dyDescent="0.35">
      <c r="A32" t="s">
        <v>693</v>
      </c>
      <c r="B32">
        <v>2023</v>
      </c>
      <c r="C32">
        <v>1178862</v>
      </c>
      <c r="D32">
        <v>0</v>
      </c>
      <c r="E32">
        <v>0</v>
      </c>
      <c r="F32">
        <v>0</v>
      </c>
      <c r="G32">
        <v>0</v>
      </c>
      <c r="H32">
        <v>0</v>
      </c>
      <c r="I32">
        <v>0</v>
      </c>
      <c r="J32">
        <v>0</v>
      </c>
      <c r="K32">
        <v>135011</v>
      </c>
      <c r="L32">
        <v>42700</v>
      </c>
      <c r="M32">
        <v>0</v>
      </c>
      <c r="N32">
        <v>1269428</v>
      </c>
      <c r="O32">
        <v>0</v>
      </c>
      <c r="P32">
        <v>0</v>
      </c>
      <c r="Q32">
        <v>0</v>
      </c>
      <c r="R32">
        <v>0</v>
      </c>
      <c r="S32">
        <v>0</v>
      </c>
      <c r="T32">
        <v>0</v>
      </c>
      <c r="U32">
        <v>0</v>
      </c>
      <c r="V32">
        <v>2</v>
      </c>
      <c r="W32">
        <v>102128</v>
      </c>
      <c r="X32">
        <v>21727</v>
      </c>
      <c r="Y32">
        <v>2828</v>
      </c>
      <c r="Z32">
        <v>1984</v>
      </c>
      <c r="AA32">
        <v>1204779</v>
      </c>
      <c r="AB32">
        <v>0</v>
      </c>
    </row>
    <row r="33" spans="1:28" x14ac:dyDescent="0.35">
      <c r="A33" t="s">
        <v>742</v>
      </c>
      <c r="B33">
        <v>2023</v>
      </c>
      <c r="C33">
        <v>2522390</v>
      </c>
      <c r="D33">
        <v>0</v>
      </c>
      <c r="E33">
        <v>99340</v>
      </c>
      <c r="F33">
        <v>0</v>
      </c>
      <c r="G33">
        <v>0</v>
      </c>
      <c r="H33">
        <v>0</v>
      </c>
      <c r="I33">
        <v>0</v>
      </c>
      <c r="J33">
        <v>0</v>
      </c>
      <c r="K33">
        <v>0</v>
      </c>
      <c r="L33">
        <v>0</v>
      </c>
      <c r="M33">
        <v>0</v>
      </c>
      <c r="N33">
        <v>1821289</v>
      </c>
      <c r="O33">
        <v>0</v>
      </c>
      <c r="P33">
        <v>0</v>
      </c>
      <c r="Q33">
        <v>0</v>
      </c>
      <c r="R33">
        <v>0</v>
      </c>
      <c r="S33">
        <v>0</v>
      </c>
      <c r="T33">
        <v>0</v>
      </c>
      <c r="U33">
        <v>0</v>
      </c>
      <c r="V33">
        <v>1</v>
      </c>
      <c r="W33">
        <v>198412</v>
      </c>
      <c r="X33">
        <v>24489</v>
      </c>
      <c r="Y33">
        <v>3199</v>
      </c>
      <c r="Z33">
        <v>9379</v>
      </c>
      <c r="AA33">
        <v>2551851</v>
      </c>
      <c r="AB33">
        <v>0</v>
      </c>
    </row>
    <row r="34" spans="1:28" x14ac:dyDescent="0.35">
      <c r="A34" t="s">
        <v>569</v>
      </c>
      <c r="B34">
        <v>2023</v>
      </c>
      <c r="C34">
        <v>4937795</v>
      </c>
      <c r="D34">
        <v>0</v>
      </c>
      <c r="E34">
        <v>2647794</v>
      </c>
      <c r="F34">
        <v>0</v>
      </c>
      <c r="G34">
        <v>0</v>
      </c>
      <c r="H34">
        <v>0</v>
      </c>
      <c r="I34">
        <v>0</v>
      </c>
      <c r="J34" t="s">
        <v>420</v>
      </c>
      <c r="K34">
        <v>0</v>
      </c>
      <c r="L34">
        <v>2508466</v>
      </c>
      <c r="M34">
        <v>0</v>
      </c>
      <c r="N34">
        <v>3919466</v>
      </c>
      <c r="O34">
        <v>0</v>
      </c>
      <c r="P34">
        <v>0</v>
      </c>
      <c r="Q34">
        <v>0</v>
      </c>
      <c r="R34">
        <v>0</v>
      </c>
      <c r="S34">
        <v>0</v>
      </c>
      <c r="T34">
        <v>0</v>
      </c>
      <c r="U34">
        <v>0</v>
      </c>
      <c r="V34">
        <v>1</v>
      </c>
      <c r="W34">
        <v>564090</v>
      </c>
      <c r="X34">
        <v>78735</v>
      </c>
      <c r="Y34">
        <v>20939</v>
      </c>
      <c r="Z34">
        <v>10594</v>
      </c>
      <c r="AA34">
        <v>7743327</v>
      </c>
      <c r="AB34">
        <v>1221340</v>
      </c>
    </row>
    <row r="35" spans="1:28" x14ac:dyDescent="0.35">
      <c r="A35" t="s">
        <v>694</v>
      </c>
      <c r="B35">
        <v>2023</v>
      </c>
      <c r="C35">
        <v>3253265</v>
      </c>
      <c r="D35">
        <v>0</v>
      </c>
      <c r="E35">
        <v>0</v>
      </c>
      <c r="F35">
        <v>1967000</v>
      </c>
      <c r="G35">
        <v>1967000</v>
      </c>
      <c r="H35" t="s">
        <v>420</v>
      </c>
      <c r="I35">
        <v>0</v>
      </c>
      <c r="J35">
        <v>0</v>
      </c>
      <c r="K35">
        <v>0</v>
      </c>
      <c r="L35">
        <v>1445000</v>
      </c>
      <c r="M35">
        <v>0</v>
      </c>
      <c r="N35">
        <v>2754630</v>
      </c>
      <c r="O35">
        <v>0</v>
      </c>
      <c r="P35">
        <v>0</v>
      </c>
      <c r="Q35">
        <v>0</v>
      </c>
      <c r="R35">
        <v>0</v>
      </c>
      <c r="S35">
        <v>0</v>
      </c>
      <c r="T35" t="s">
        <v>420</v>
      </c>
      <c r="U35" t="s">
        <v>420</v>
      </c>
      <c r="V35">
        <v>2</v>
      </c>
      <c r="W35">
        <v>282157</v>
      </c>
      <c r="X35">
        <v>18635</v>
      </c>
      <c r="Y35">
        <v>2791</v>
      </c>
      <c r="Z35">
        <v>209</v>
      </c>
      <c r="AA35">
        <v>3288733</v>
      </c>
      <c r="AB35">
        <v>652000</v>
      </c>
    </row>
    <row r="36" spans="1:28" x14ac:dyDescent="0.35">
      <c r="A36" t="s">
        <v>643</v>
      </c>
      <c r="B36">
        <v>2023</v>
      </c>
      <c r="C36">
        <v>3409869</v>
      </c>
      <c r="D36">
        <v>213875</v>
      </c>
      <c r="E36">
        <v>1110270</v>
      </c>
      <c r="F36">
        <v>0</v>
      </c>
      <c r="G36">
        <v>0</v>
      </c>
      <c r="H36">
        <v>0</v>
      </c>
      <c r="I36">
        <v>0</v>
      </c>
      <c r="J36">
        <v>0</v>
      </c>
      <c r="K36">
        <v>0</v>
      </c>
      <c r="L36">
        <v>1366100</v>
      </c>
      <c r="M36">
        <v>0</v>
      </c>
      <c r="N36">
        <v>2978405</v>
      </c>
      <c r="O36">
        <v>37897</v>
      </c>
      <c r="P36">
        <v>175978</v>
      </c>
      <c r="Q36">
        <v>0</v>
      </c>
      <c r="R36">
        <v>0</v>
      </c>
      <c r="S36">
        <v>0</v>
      </c>
      <c r="T36" t="s">
        <v>420</v>
      </c>
      <c r="U36" t="s">
        <v>420</v>
      </c>
      <c r="V36">
        <v>1</v>
      </c>
      <c r="W36">
        <v>393081</v>
      </c>
      <c r="X36">
        <v>30276</v>
      </c>
      <c r="Y36">
        <v>8277</v>
      </c>
      <c r="Z36">
        <v>9547</v>
      </c>
      <c r="AA36">
        <v>6939526</v>
      </c>
      <c r="AB36">
        <v>316335</v>
      </c>
    </row>
    <row r="37" spans="1:28" x14ac:dyDescent="0.35">
      <c r="A37" t="s">
        <v>672</v>
      </c>
      <c r="B37">
        <v>2023</v>
      </c>
      <c r="C37" t="s">
        <v>420</v>
      </c>
      <c r="D37">
        <v>0</v>
      </c>
      <c r="E37">
        <v>0</v>
      </c>
      <c r="F37">
        <v>0</v>
      </c>
      <c r="G37" t="s">
        <v>420</v>
      </c>
      <c r="H37" t="s">
        <v>420</v>
      </c>
      <c r="I37" t="s">
        <v>420</v>
      </c>
      <c r="J37" t="s">
        <v>420</v>
      </c>
      <c r="K37">
        <v>0</v>
      </c>
      <c r="L37" t="s">
        <v>420</v>
      </c>
      <c r="M37" t="s">
        <v>420</v>
      </c>
      <c r="N37" t="s">
        <v>420</v>
      </c>
      <c r="O37" t="s">
        <v>420</v>
      </c>
      <c r="P37" t="s">
        <v>420</v>
      </c>
      <c r="Q37" t="s">
        <v>420</v>
      </c>
      <c r="R37" t="s">
        <v>420</v>
      </c>
      <c r="S37" t="s">
        <v>420</v>
      </c>
      <c r="T37" t="s">
        <v>420</v>
      </c>
      <c r="U37" t="s">
        <v>420</v>
      </c>
      <c r="V37">
        <v>2</v>
      </c>
      <c r="W37">
        <v>0</v>
      </c>
      <c r="X37">
        <v>0</v>
      </c>
      <c r="Y37">
        <v>0</v>
      </c>
      <c r="Z37">
        <v>5818</v>
      </c>
      <c r="AA37">
        <v>0</v>
      </c>
      <c r="AB37" t="s">
        <v>420</v>
      </c>
    </row>
    <row r="38" spans="1:28" x14ac:dyDescent="0.35">
      <c r="A38" t="s">
        <v>670</v>
      </c>
      <c r="B38">
        <v>2023</v>
      </c>
      <c r="C38" t="s">
        <v>420</v>
      </c>
      <c r="D38">
        <v>0</v>
      </c>
      <c r="E38">
        <v>0</v>
      </c>
      <c r="F38">
        <v>0</v>
      </c>
      <c r="G38" t="s">
        <v>420</v>
      </c>
      <c r="H38" t="s">
        <v>420</v>
      </c>
      <c r="I38" t="s">
        <v>420</v>
      </c>
      <c r="J38" t="s">
        <v>420</v>
      </c>
      <c r="K38">
        <v>0</v>
      </c>
      <c r="L38" t="s">
        <v>420</v>
      </c>
      <c r="M38" t="s">
        <v>420</v>
      </c>
      <c r="N38" t="s">
        <v>420</v>
      </c>
      <c r="O38" t="s">
        <v>420</v>
      </c>
      <c r="P38" t="s">
        <v>420</v>
      </c>
      <c r="Q38" t="s">
        <v>420</v>
      </c>
      <c r="R38" t="s">
        <v>420</v>
      </c>
      <c r="S38" t="s">
        <v>420</v>
      </c>
      <c r="T38" t="s">
        <v>420</v>
      </c>
      <c r="U38" t="s">
        <v>420</v>
      </c>
      <c r="V38">
        <v>2</v>
      </c>
      <c r="W38">
        <v>0</v>
      </c>
      <c r="X38">
        <v>0</v>
      </c>
      <c r="Y38">
        <v>0</v>
      </c>
      <c r="Z38">
        <v>7577</v>
      </c>
      <c r="AA38">
        <v>0</v>
      </c>
      <c r="AB38" t="s">
        <v>420</v>
      </c>
    </row>
    <row r="39" spans="1:28" x14ac:dyDescent="0.35">
      <c r="A39" t="s">
        <v>684</v>
      </c>
      <c r="B39">
        <v>2023</v>
      </c>
      <c r="C39">
        <v>688584</v>
      </c>
      <c r="D39">
        <v>0</v>
      </c>
      <c r="E39">
        <v>0</v>
      </c>
      <c r="F39">
        <v>0</v>
      </c>
      <c r="G39">
        <v>0</v>
      </c>
      <c r="H39" t="s">
        <v>420</v>
      </c>
      <c r="I39">
        <v>0</v>
      </c>
      <c r="J39">
        <v>0</v>
      </c>
      <c r="K39">
        <v>0</v>
      </c>
      <c r="L39">
        <v>0</v>
      </c>
      <c r="M39">
        <v>0</v>
      </c>
      <c r="N39">
        <v>596314</v>
      </c>
      <c r="O39">
        <v>0</v>
      </c>
      <c r="P39">
        <v>0</v>
      </c>
      <c r="Q39">
        <v>0</v>
      </c>
      <c r="R39">
        <v>0</v>
      </c>
      <c r="S39">
        <v>0</v>
      </c>
      <c r="T39" t="s">
        <v>420</v>
      </c>
      <c r="U39" t="s">
        <v>420</v>
      </c>
      <c r="V39">
        <v>2</v>
      </c>
      <c r="W39">
        <v>59802</v>
      </c>
      <c r="X39">
        <v>9241</v>
      </c>
      <c r="Y39">
        <v>375</v>
      </c>
      <c r="Z39">
        <v>519</v>
      </c>
      <c r="AA39">
        <v>591040</v>
      </c>
      <c r="AB39">
        <v>0</v>
      </c>
    </row>
    <row r="40" spans="1:28" x14ac:dyDescent="0.35">
      <c r="A40" t="s">
        <v>680</v>
      </c>
      <c r="B40">
        <v>2023</v>
      </c>
      <c r="C40" t="s">
        <v>420</v>
      </c>
      <c r="D40">
        <v>0</v>
      </c>
      <c r="E40">
        <v>0</v>
      </c>
      <c r="F40">
        <v>0</v>
      </c>
      <c r="G40" t="s">
        <v>420</v>
      </c>
      <c r="H40" t="s">
        <v>420</v>
      </c>
      <c r="I40" t="s">
        <v>420</v>
      </c>
      <c r="J40" t="s">
        <v>420</v>
      </c>
      <c r="K40">
        <v>0</v>
      </c>
      <c r="L40" t="s">
        <v>420</v>
      </c>
      <c r="M40" t="s">
        <v>420</v>
      </c>
      <c r="N40" t="s">
        <v>420</v>
      </c>
      <c r="O40" t="s">
        <v>420</v>
      </c>
      <c r="P40" t="s">
        <v>420</v>
      </c>
      <c r="Q40" t="s">
        <v>420</v>
      </c>
      <c r="R40" t="s">
        <v>420</v>
      </c>
      <c r="S40" t="s">
        <v>420</v>
      </c>
      <c r="T40" t="s">
        <v>420</v>
      </c>
      <c r="U40" t="s">
        <v>420</v>
      </c>
      <c r="V40">
        <v>2</v>
      </c>
      <c r="W40">
        <v>0</v>
      </c>
      <c r="X40">
        <v>0</v>
      </c>
      <c r="Y40">
        <v>60</v>
      </c>
      <c r="Z40">
        <v>3105</v>
      </c>
      <c r="AA40">
        <v>0</v>
      </c>
      <c r="AB40" t="s">
        <v>420</v>
      </c>
    </row>
    <row r="41" spans="1:28" x14ac:dyDescent="0.35">
      <c r="A41" t="s">
        <v>676</v>
      </c>
      <c r="B41">
        <v>2023</v>
      </c>
      <c r="C41" t="s">
        <v>420</v>
      </c>
      <c r="D41">
        <v>0</v>
      </c>
      <c r="E41">
        <v>0</v>
      </c>
      <c r="F41">
        <v>0</v>
      </c>
      <c r="G41" t="s">
        <v>420</v>
      </c>
      <c r="H41" t="s">
        <v>420</v>
      </c>
      <c r="I41" t="s">
        <v>420</v>
      </c>
      <c r="J41" t="s">
        <v>420</v>
      </c>
      <c r="K41">
        <v>0</v>
      </c>
      <c r="L41" t="s">
        <v>420</v>
      </c>
      <c r="M41" t="s">
        <v>420</v>
      </c>
      <c r="N41" t="s">
        <v>420</v>
      </c>
      <c r="O41" t="s">
        <v>420</v>
      </c>
      <c r="P41" t="s">
        <v>420</v>
      </c>
      <c r="Q41" t="s">
        <v>420</v>
      </c>
      <c r="R41" t="s">
        <v>420</v>
      </c>
      <c r="S41" t="s">
        <v>420</v>
      </c>
      <c r="T41" t="s">
        <v>420</v>
      </c>
      <c r="U41" t="s">
        <v>420</v>
      </c>
      <c r="V41">
        <v>2</v>
      </c>
      <c r="W41">
        <v>0</v>
      </c>
      <c r="X41">
        <v>0</v>
      </c>
      <c r="Y41">
        <v>1567</v>
      </c>
      <c r="Z41">
        <v>3709</v>
      </c>
      <c r="AA41">
        <v>0</v>
      </c>
      <c r="AB41" t="s">
        <v>420</v>
      </c>
    </row>
    <row r="42" spans="1:28" x14ac:dyDescent="0.35">
      <c r="A42" t="s">
        <v>668</v>
      </c>
      <c r="B42">
        <v>2023</v>
      </c>
      <c r="C42" t="s">
        <v>420</v>
      </c>
      <c r="D42">
        <v>0</v>
      </c>
      <c r="E42">
        <v>0</v>
      </c>
      <c r="F42">
        <v>0</v>
      </c>
      <c r="G42" t="s">
        <v>420</v>
      </c>
      <c r="H42" t="s">
        <v>420</v>
      </c>
      <c r="I42" t="s">
        <v>420</v>
      </c>
      <c r="J42" t="s">
        <v>420</v>
      </c>
      <c r="K42">
        <v>0</v>
      </c>
      <c r="L42" t="s">
        <v>420</v>
      </c>
      <c r="M42" t="s">
        <v>420</v>
      </c>
      <c r="N42" t="s">
        <v>420</v>
      </c>
      <c r="O42" t="s">
        <v>420</v>
      </c>
      <c r="P42" t="s">
        <v>420</v>
      </c>
      <c r="Q42" t="s">
        <v>420</v>
      </c>
      <c r="R42" t="s">
        <v>420</v>
      </c>
      <c r="S42" t="s">
        <v>420</v>
      </c>
      <c r="T42" t="s">
        <v>420</v>
      </c>
      <c r="U42" t="s">
        <v>420</v>
      </c>
      <c r="V42">
        <v>2</v>
      </c>
      <c r="W42">
        <v>0</v>
      </c>
      <c r="X42">
        <v>0</v>
      </c>
      <c r="Y42">
        <v>24299</v>
      </c>
      <c r="Z42">
        <v>4350</v>
      </c>
      <c r="AA42">
        <v>0</v>
      </c>
      <c r="AB42" t="s">
        <v>420</v>
      </c>
    </row>
    <row r="43" spans="1:28" x14ac:dyDescent="0.35">
      <c r="A43" t="s">
        <v>671</v>
      </c>
      <c r="B43">
        <v>2023</v>
      </c>
      <c r="C43" t="s">
        <v>420</v>
      </c>
      <c r="D43">
        <v>0</v>
      </c>
      <c r="E43">
        <v>0</v>
      </c>
      <c r="F43">
        <v>0</v>
      </c>
      <c r="G43" t="s">
        <v>420</v>
      </c>
      <c r="H43" t="s">
        <v>420</v>
      </c>
      <c r="I43" t="s">
        <v>420</v>
      </c>
      <c r="J43" t="s">
        <v>420</v>
      </c>
      <c r="K43">
        <v>0</v>
      </c>
      <c r="L43" t="s">
        <v>420</v>
      </c>
      <c r="M43" t="s">
        <v>420</v>
      </c>
      <c r="N43" t="s">
        <v>420</v>
      </c>
      <c r="O43" t="s">
        <v>420</v>
      </c>
      <c r="P43" t="s">
        <v>420</v>
      </c>
      <c r="Q43" t="s">
        <v>420</v>
      </c>
      <c r="R43" t="s">
        <v>420</v>
      </c>
      <c r="S43" t="s">
        <v>420</v>
      </c>
      <c r="T43" t="s">
        <v>420</v>
      </c>
      <c r="U43" t="s">
        <v>420</v>
      </c>
      <c r="V43">
        <v>2</v>
      </c>
      <c r="W43">
        <v>0</v>
      </c>
      <c r="X43">
        <v>0</v>
      </c>
      <c r="Y43">
        <v>1070</v>
      </c>
      <c r="Z43">
        <v>1944</v>
      </c>
      <c r="AA43">
        <v>0</v>
      </c>
      <c r="AB43" t="s">
        <v>420</v>
      </c>
    </row>
    <row r="44" spans="1:28" x14ac:dyDescent="0.35">
      <c r="A44" t="s">
        <v>677</v>
      </c>
      <c r="B44">
        <v>2023</v>
      </c>
      <c r="C44" t="s">
        <v>420</v>
      </c>
      <c r="D44">
        <v>0</v>
      </c>
      <c r="E44">
        <v>0</v>
      </c>
      <c r="F44">
        <v>0</v>
      </c>
      <c r="G44" t="s">
        <v>420</v>
      </c>
      <c r="H44" t="s">
        <v>420</v>
      </c>
      <c r="I44" t="s">
        <v>420</v>
      </c>
      <c r="J44" t="s">
        <v>420</v>
      </c>
      <c r="K44">
        <v>0</v>
      </c>
      <c r="L44" t="s">
        <v>420</v>
      </c>
      <c r="M44" t="s">
        <v>420</v>
      </c>
      <c r="N44" t="s">
        <v>420</v>
      </c>
      <c r="O44" t="s">
        <v>420</v>
      </c>
      <c r="P44" t="s">
        <v>420</v>
      </c>
      <c r="Q44" t="s">
        <v>420</v>
      </c>
      <c r="R44" t="s">
        <v>420</v>
      </c>
      <c r="S44" t="s">
        <v>420</v>
      </c>
      <c r="T44" t="s">
        <v>420</v>
      </c>
      <c r="U44" t="s">
        <v>420</v>
      </c>
      <c r="V44">
        <v>2</v>
      </c>
      <c r="W44">
        <v>0</v>
      </c>
      <c r="X44">
        <v>0</v>
      </c>
      <c r="Y44">
        <v>0</v>
      </c>
      <c r="Z44">
        <v>4056</v>
      </c>
      <c r="AA44">
        <v>0</v>
      </c>
      <c r="AB44" t="s">
        <v>420</v>
      </c>
    </row>
    <row r="45" spans="1:28" x14ac:dyDescent="0.35">
      <c r="A45" t="s">
        <v>604</v>
      </c>
      <c r="B45">
        <v>2023</v>
      </c>
      <c r="C45">
        <v>4068847</v>
      </c>
      <c r="D45">
        <v>1298</v>
      </c>
      <c r="E45">
        <v>3117986</v>
      </c>
      <c r="F45">
        <v>708570</v>
      </c>
      <c r="G45">
        <v>708570</v>
      </c>
      <c r="H45">
        <v>0</v>
      </c>
      <c r="I45">
        <v>0</v>
      </c>
      <c r="J45">
        <v>0</v>
      </c>
      <c r="K45">
        <v>0</v>
      </c>
      <c r="L45">
        <v>3244666</v>
      </c>
      <c r="M45">
        <v>457452</v>
      </c>
      <c r="N45">
        <v>5156688</v>
      </c>
      <c r="O45">
        <v>0</v>
      </c>
      <c r="P45">
        <v>1298</v>
      </c>
      <c r="Q45">
        <v>0</v>
      </c>
      <c r="R45">
        <v>0</v>
      </c>
      <c r="S45">
        <v>0</v>
      </c>
      <c r="T45">
        <v>0</v>
      </c>
      <c r="U45">
        <v>0</v>
      </c>
      <c r="V45">
        <v>1</v>
      </c>
      <c r="W45">
        <v>532960</v>
      </c>
      <c r="X45">
        <v>67761</v>
      </c>
      <c r="Y45">
        <v>9460</v>
      </c>
      <c r="Z45">
        <v>17533</v>
      </c>
      <c r="AA45">
        <v>7492428</v>
      </c>
      <c r="AB45">
        <v>1468135</v>
      </c>
    </row>
    <row r="46" spans="1:28" x14ac:dyDescent="0.35">
      <c r="A46" t="s">
        <v>673</v>
      </c>
      <c r="B46">
        <v>2023</v>
      </c>
      <c r="C46" t="s">
        <v>420</v>
      </c>
      <c r="D46" t="s">
        <v>420</v>
      </c>
      <c r="E46" t="s">
        <v>420</v>
      </c>
      <c r="F46" t="s">
        <v>420</v>
      </c>
      <c r="G46" t="s">
        <v>420</v>
      </c>
      <c r="H46" t="s">
        <v>420</v>
      </c>
      <c r="I46" t="s">
        <v>420</v>
      </c>
      <c r="J46" t="s">
        <v>420</v>
      </c>
      <c r="K46" t="s">
        <v>420</v>
      </c>
      <c r="L46" t="s">
        <v>420</v>
      </c>
      <c r="M46" t="s">
        <v>420</v>
      </c>
      <c r="N46" t="s">
        <v>420</v>
      </c>
      <c r="O46" t="s">
        <v>420</v>
      </c>
      <c r="P46" t="s">
        <v>420</v>
      </c>
      <c r="Q46" t="s">
        <v>420</v>
      </c>
      <c r="R46" t="s">
        <v>420</v>
      </c>
      <c r="S46" t="s">
        <v>420</v>
      </c>
      <c r="T46" t="s">
        <v>420</v>
      </c>
      <c r="U46" t="s">
        <v>420</v>
      </c>
      <c r="V46">
        <v>2</v>
      </c>
      <c r="W46">
        <v>53136</v>
      </c>
      <c r="X46">
        <v>3486</v>
      </c>
      <c r="Y46" t="s">
        <v>420</v>
      </c>
      <c r="Z46" t="s">
        <v>420</v>
      </c>
      <c r="AA46">
        <v>474051</v>
      </c>
      <c r="AB46" t="s">
        <v>420</v>
      </c>
    </row>
    <row r="47" spans="1:28" x14ac:dyDescent="0.35">
      <c r="A47" t="s">
        <v>732</v>
      </c>
      <c r="B47">
        <v>2023</v>
      </c>
      <c r="C47">
        <v>2047156</v>
      </c>
      <c r="D47">
        <v>0</v>
      </c>
      <c r="E47">
        <v>0</v>
      </c>
      <c r="F47">
        <v>0</v>
      </c>
      <c r="G47">
        <v>0</v>
      </c>
      <c r="H47">
        <v>0</v>
      </c>
      <c r="I47">
        <v>0</v>
      </c>
      <c r="J47">
        <v>0</v>
      </c>
      <c r="K47">
        <v>0</v>
      </c>
      <c r="L47">
        <v>0</v>
      </c>
      <c r="M47">
        <v>0</v>
      </c>
      <c r="N47">
        <v>1802398</v>
      </c>
      <c r="O47">
        <v>0</v>
      </c>
      <c r="P47">
        <v>0</v>
      </c>
      <c r="Q47">
        <v>0</v>
      </c>
      <c r="R47">
        <v>0</v>
      </c>
      <c r="S47">
        <v>0</v>
      </c>
      <c r="T47">
        <v>0</v>
      </c>
      <c r="U47">
        <v>0</v>
      </c>
      <c r="V47">
        <v>1</v>
      </c>
      <c r="W47">
        <v>175362</v>
      </c>
      <c r="X47">
        <v>18364</v>
      </c>
      <c r="Y47">
        <v>2352.5242499999999</v>
      </c>
      <c r="Z47">
        <v>6812</v>
      </c>
      <c r="AA47">
        <v>2255178</v>
      </c>
      <c r="AB47">
        <v>0</v>
      </c>
    </row>
    <row r="48" spans="1:28" x14ac:dyDescent="0.35">
      <c r="A48" t="s">
        <v>674</v>
      </c>
      <c r="B48">
        <v>2023</v>
      </c>
      <c r="C48" t="s">
        <v>420</v>
      </c>
      <c r="D48">
        <v>0</v>
      </c>
      <c r="E48">
        <v>0</v>
      </c>
      <c r="F48">
        <v>0</v>
      </c>
      <c r="G48" t="s">
        <v>420</v>
      </c>
      <c r="H48" t="s">
        <v>420</v>
      </c>
      <c r="I48" t="s">
        <v>420</v>
      </c>
      <c r="J48" t="s">
        <v>420</v>
      </c>
      <c r="K48">
        <v>0</v>
      </c>
      <c r="L48" t="s">
        <v>420</v>
      </c>
      <c r="M48" t="s">
        <v>420</v>
      </c>
      <c r="N48" t="s">
        <v>420</v>
      </c>
      <c r="O48" t="s">
        <v>420</v>
      </c>
      <c r="P48" t="s">
        <v>420</v>
      </c>
      <c r="Q48" t="s">
        <v>420</v>
      </c>
      <c r="R48" t="s">
        <v>420</v>
      </c>
      <c r="S48" t="s">
        <v>420</v>
      </c>
      <c r="T48" t="s">
        <v>420</v>
      </c>
      <c r="U48" t="s">
        <v>420</v>
      </c>
      <c r="V48">
        <v>2</v>
      </c>
      <c r="W48">
        <v>0</v>
      </c>
      <c r="X48">
        <v>0</v>
      </c>
      <c r="Y48">
        <v>0</v>
      </c>
      <c r="Z48">
        <v>6605</v>
      </c>
      <c r="AA48">
        <v>0</v>
      </c>
      <c r="AB48" t="s">
        <v>420</v>
      </c>
    </row>
    <row r="49" spans="1:28" x14ac:dyDescent="0.35">
      <c r="A49" t="s">
        <v>627</v>
      </c>
      <c r="B49">
        <v>2023</v>
      </c>
      <c r="C49">
        <v>2068101</v>
      </c>
      <c r="D49">
        <v>0</v>
      </c>
      <c r="E49">
        <v>0</v>
      </c>
      <c r="F49">
        <v>0</v>
      </c>
      <c r="G49">
        <v>0</v>
      </c>
      <c r="H49">
        <v>0</v>
      </c>
      <c r="I49">
        <v>0</v>
      </c>
      <c r="J49">
        <v>0</v>
      </c>
      <c r="K49">
        <v>0</v>
      </c>
      <c r="L49">
        <v>0</v>
      </c>
      <c r="M49">
        <v>0</v>
      </c>
      <c r="N49">
        <v>1731587</v>
      </c>
      <c r="O49">
        <v>0</v>
      </c>
      <c r="P49">
        <v>0</v>
      </c>
      <c r="Q49">
        <v>0</v>
      </c>
      <c r="R49">
        <v>0</v>
      </c>
      <c r="S49">
        <v>0</v>
      </c>
      <c r="T49">
        <v>0</v>
      </c>
      <c r="U49">
        <v>0</v>
      </c>
      <c r="V49">
        <v>1</v>
      </c>
      <c r="W49">
        <v>191456</v>
      </c>
      <c r="X49">
        <v>26478</v>
      </c>
      <c r="Y49">
        <v>2474</v>
      </c>
      <c r="Z49">
        <v>85</v>
      </c>
      <c r="AA49">
        <v>2766539</v>
      </c>
      <c r="AB49">
        <v>0</v>
      </c>
    </row>
    <row r="50" spans="1:28" x14ac:dyDescent="0.35">
      <c r="A50" t="s">
        <v>707</v>
      </c>
      <c r="B50">
        <v>2023</v>
      </c>
      <c r="C50">
        <v>9735595</v>
      </c>
      <c r="D50">
        <v>360000</v>
      </c>
      <c r="E50">
        <v>0</v>
      </c>
      <c r="F50">
        <v>16972000</v>
      </c>
      <c r="G50">
        <v>0</v>
      </c>
      <c r="H50">
        <v>16972000</v>
      </c>
      <c r="I50">
        <v>0</v>
      </c>
      <c r="J50">
        <v>0</v>
      </c>
      <c r="K50">
        <v>83391</v>
      </c>
      <c r="L50">
        <v>0</v>
      </c>
      <c r="M50">
        <v>0</v>
      </c>
      <c r="N50">
        <v>5837362</v>
      </c>
      <c r="O50">
        <v>360000</v>
      </c>
      <c r="P50">
        <v>0</v>
      </c>
      <c r="Q50">
        <v>0</v>
      </c>
      <c r="R50">
        <v>0</v>
      </c>
      <c r="S50">
        <v>0</v>
      </c>
      <c r="T50">
        <v>0</v>
      </c>
      <c r="U50">
        <v>0</v>
      </c>
      <c r="V50">
        <v>2</v>
      </c>
      <c r="W50">
        <v>252761</v>
      </c>
      <c r="X50">
        <v>56081</v>
      </c>
      <c r="Y50">
        <v>7529</v>
      </c>
      <c r="Z50">
        <v>4303</v>
      </c>
      <c r="AA50">
        <v>2599190</v>
      </c>
      <c r="AB50">
        <v>0</v>
      </c>
    </row>
    <row r="51" spans="1:28" x14ac:dyDescent="0.35">
      <c r="A51" t="s">
        <v>716</v>
      </c>
      <c r="B51">
        <v>2023</v>
      </c>
      <c r="C51">
        <v>830895</v>
      </c>
      <c r="D51">
        <v>0</v>
      </c>
      <c r="E51">
        <v>1207</v>
      </c>
      <c r="F51">
        <v>0</v>
      </c>
      <c r="G51" t="s">
        <v>420</v>
      </c>
      <c r="H51" t="s">
        <v>420</v>
      </c>
      <c r="I51">
        <v>0</v>
      </c>
      <c r="J51">
        <v>0</v>
      </c>
      <c r="K51">
        <v>77262</v>
      </c>
      <c r="L51">
        <v>24447</v>
      </c>
      <c r="M51" t="s">
        <v>420</v>
      </c>
      <c r="N51">
        <v>1051254</v>
      </c>
      <c r="O51">
        <v>0</v>
      </c>
      <c r="P51">
        <v>0</v>
      </c>
      <c r="Q51">
        <v>0</v>
      </c>
      <c r="R51">
        <v>0</v>
      </c>
      <c r="S51" t="s">
        <v>420</v>
      </c>
      <c r="T51" t="s">
        <v>420</v>
      </c>
      <c r="U51" t="s">
        <v>420</v>
      </c>
      <c r="V51">
        <v>1</v>
      </c>
      <c r="W51">
        <v>95457</v>
      </c>
      <c r="X51">
        <v>10515</v>
      </c>
      <c r="Y51">
        <v>4954</v>
      </c>
      <c r="Z51">
        <v>3714</v>
      </c>
      <c r="AA51">
        <v>682214</v>
      </c>
      <c r="AB51" t="s">
        <v>420</v>
      </c>
    </row>
    <row r="52" spans="1:28" x14ac:dyDescent="0.35">
      <c r="A52" t="s">
        <v>678</v>
      </c>
      <c r="B52">
        <v>2023</v>
      </c>
      <c r="C52">
        <v>1794089</v>
      </c>
      <c r="D52">
        <v>191433</v>
      </c>
      <c r="E52">
        <v>0</v>
      </c>
      <c r="F52">
        <v>0</v>
      </c>
      <c r="G52">
        <v>0</v>
      </c>
      <c r="H52" t="s">
        <v>420</v>
      </c>
      <c r="I52" t="s">
        <v>420</v>
      </c>
      <c r="J52">
        <v>0</v>
      </c>
      <c r="K52">
        <v>0</v>
      </c>
      <c r="L52">
        <v>0</v>
      </c>
      <c r="M52">
        <v>0</v>
      </c>
      <c r="N52">
        <v>2091662</v>
      </c>
      <c r="O52">
        <v>0</v>
      </c>
      <c r="P52">
        <v>191433</v>
      </c>
      <c r="Q52">
        <v>0</v>
      </c>
      <c r="R52">
        <v>0</v>
      </c>
      <c r="S52">
        <v>0</v>
      </c>
      <c r="T52" t="s">
        <v>420</v>
      </c>
      <c r="U52" t="s">
        <v>420</v>
      </c>
      <c r="V52">
        <v>2</v>
      </c>
      <c r="W52">
        <v>242220</v>
      </c>
      <c r="X52">
        <v>30695</v>
      </c>
      <c r="Y52">
        <v>1385</v>
      </c>
      <c r="Z52">
        <v>5365</v>
      </c>
      <c r="AA52">
        <v>3271814</v>
      </c>
      <c r="AB52" t="s">
        <v>420</v>
      </c>
    </row>
    <row r="53" spans="1:28" x14ac:dyDescent="0.35">
      <c r="A53" t="s">
        <v>709</v>
      </c>
      <c r="B53">
        <v>2023</v>
      </c>
      <c r="C53">
        <v>3091706</v>
      </c>
      <c r="D53">
        <v>0</v>
      </c>
      <c r="E53">
        <v>2071200</v>
      </c>
      <c r="F53">
        <v>0</v>
      </c>
      <c r="G53">
        <v>0</v>
      </c>
      <c r="H53" t="s">
        <v>420</v>
      </c>
      <c r="I53">
        <v>0</v>
      </c>
      <c r="J53">
        <v>0</v>
      </c>
      <c r="K53">
        <v>21072</v>
      </c>
      <c r="L53">
        <v>2143000</v>
      </c>
      <c r="M53">
        <v>0</v>
      </c>
      <c r="N53">
        <v>3880396</v>
      </c>
      <c r="O53">
        <v>0</v>
      </c>
      <c r="P53">
        <v>0</v>
      </c>
      <c r="Q53">
        <v>0</v>
      </c>
      <c r="R53">
        <v>0</v>
      </c>
      <c r="S53">
        <v>0</v>
      </c>
      <c r="T53" t="s">
        <v>420</v>
      </c>
      <c r="U53" t="s">
        <v>420</v>
      </c>
      <c r="V53">
        <v>2</v>
      </c>
      <c r="W53">
        <v>396823</v>
      </c>
      <c r="X53">
        <v>28015</v>
      </c>
      <c r="Y53">
        <v>555</v>
      </c>
      <c r="Z53">
        <v>9686</v>
      </c>
      <c r="AA53">
        <v>5351537</v>
      </c>
      <c r="AB53">
        <v>1210000</v>
      </c>
    </row>
    <row r="54" spans="1:28" x14ac:dyDescent="0.35">
      <c r="A54" t="s">
        <v>679</v>
      </c>
      <c r="B54">
        <v>2023</v>
      </c>
      <c r="C54">
        <v>956013</v>
      </c>
      <c r="D54">
        <v>0</v>
      </c>
      <c r="E54">
        <v>0</v>
      </c>
      <c r="F54">
        <v>0</v>
      </c>
      <c r="G54">
        <v>0</v>
      </c>
      <c r="H54" t="s">
        <v>420</v>
      </c>
      <c r="I54" t="s">
        <v>420</v>
      </c>
      <c r="J54">
        <v>0</v>
      </c>
      <c r="K54">
        <v>0</v>
      </c>
      <c r="L54">
        <v>34297</v>
      </c>
      <c r="M54">
        <v>0</v>
      </c>
      <c r="N54">
        <v>911646</v>
      </c>
      <c r="O54">
        <v>0</v>
      </c>
      <c r="P54">
        <v>0</v>
      </c>
      <c r="Q54">
        <v>0</v>
      </c>
      <c r="R54">
        <v>0</v>
      </c>
      <c r="S54">
        <v>0</v>
      </c>
      <c r="T54" t="s">
        <v>420</v>
      </c>
      <c r="U54" t="s">
        <v>420</v>
      </c>
      <c r="V54">
        <v>2</v>
      </c>
      <c r="W54">
        <v>105026</v>
      </c>
      <c r="X54">
        <v>4819</v>
      </c>
      <c r="Y54">
        <v>15</v>
      </c>
      <c r="Z54">
        <v>2351</v>
      </c>
      <c r="AA54">
        <v>1041974</v>
      </c>
      <c r="AB54" t="s">
        <v>420</v>
      </c>
    </row>
    <row r="55" spans="1:28" x14ac:dyDescent="0.35">
      <c r="A55" t="s">
        <v>710</v>
      </c>
      <c r="B55">
        <v>2023</v>
      </c>
      <c r="C55">
        <v>920436</v>
      </c>
      <c r="D55">
        <v>9746</v>
      </c>
      <c r="E55">
        <v>0</v>
      </c>
      <c r="F55">
        <v>0</v>
      </c>
      <c r="G55">
        <v>0</v>
      </c>
      <c r="H55" t="s">
        <v>420</v>
      </c>
      <c r="I55">
        <v>0</v>
      </c>
      <c r="J55">
        <v>0</v>
      </c>
      <c r="K55">
        <v>0</v>
      </c>
      <c r="L55">
        <v>0</v>
      </c>
      <c r="M55">
        <v>0</v>
      </c>
      <c r="N55">
        <v>894886</v>
      </c>
      <c r="O55">
        <v>0</v>
      </c>
      <c r="P55">
        <v>9746</v>
      </c>
      <c r="Q55">
        <v>0</v>
      </c>
      <c r="R55">
        <v>0</v>
      </c>
      <c r="S55">
        <v>0</v>
      </c>
      <c r="T55" t="s">
        <v>420</v>
      </c>
      <c r="U55" t="s">
        <v>420</v>
      </c>
      <c r="V55">
        <v>2</v>
      </c>
      <c r="W55">
        <v>104357</v>
      </c>
      <c r="X55">
        <v>6572</v>
      </c>
      <c r="Y55">
        <v>1226</v>
      </c>
      <c r="Z55">
        <v>1195</v>
      </c>
      <c r="AA55">
        <v>1247337</v>
      </c>
      <c r="AB55" t="s">
        <v>420</v>
      </c>
    </row>
    <row r="56" spans="1:28" x14ac:dyDescent="0.35">
      <c r="A56" t="s">
        <v>721</v>
      </c>
      <c r="B56">
        <v>2023</v>
      </c>
      <c r="C56">
        <v>609781</v>
      </c>
      <c r="D56">
        <v>20797</v>
      </c>
      <c r="E56">
        <v>0</v>
      </c>
      <c r="F56">
        <v>0</v>
      </c>
      <c r="G56">
        <v>0</v>
      </c>
      <c r="H56">
        <v>0</v>
      </c>
      <c r="I56">
        <v>0</v>
      </c>
      <c r="J56">
        <v>0</v>
      </c>
      <c r="K56">
        <v>0</v>
      </c>
      <c r="L56">
        <v>0</v>
      </c>
      <c r="M56">
        <v>0</v>
      </c>
      <c r="N56">
        <v>547572</v>
      </c>
      <c r="O56">
        <v>20797</v>
      </c>
      <c r="P56">
        <v>0</v>
      </c>
      <c r="Q56">
        <v>0</v>
      </c>
      <c r="R56">
        <v>0</v>
      </c>
      <c r="S56">
        <v>0</v>
      </c>
      <c r="T56">
        <v>0</v>
      </c>
      <c r="U56">
        <v>0</v>
      </c>
      <c r="V56">
        <v>1</v>
      </c>
      <c r="W56">
        <v>69471</v>
      </c>
      <c r="X56">
        <v>11909</v>
      </c>
      <c r="Y56">
        <v>2315</v>
      </c>
      <c r="Z56">
        <v>807</v>
      </c>
      <c r="AA56">
        <v>636000</v>
      </c>
      <c r="AB56">
        <v>0</v>
      </c>
    </row>
    <row r="57" spans="1:28" x14ac:dyDescent="0.35">
      <c r="A57" t="s">
        <v>579</v>
      </c>
      <c r="B57">
        <v>2023</v>
      </c>
      <c r="C57">
        <v>1626682</v>
      </c>
      <c r="D57">
        <v>0</v>
      </c>
      <c r="E57">
        <v>0</v>
      </c>
      <c r="F57">
        <v>0</v>
      </c>
      <c r="G57">
        <v>0</v>
      </c>
      <c r="H57">
        <v>0</v>
      </c>
      <c r="I57">
        <v>0</v>
      </c>
      <c r="J57">
        <v>0</v>
      </c>
      <c r="K57">
        <v>0</v>
      </c>
      <c r="L57">
        <v>100000</v>
      </c>
      <c r="M57">
        <v>0</v>
      </c>
      <c r="N57">
        <v>1174635</v>
      </c>
      <c r="O57">
        <v>0</v>
      </c>
      <c r="P57">
        <v>0</v>
      </c>
      <c r="Q57">
        <v>0</v>
      </c>
      <c r="R57">
        <v>0</v>
      </c>
      <c r="S57">
        <v>0</v>
      </c>
      <c r="T57">
        <v>0</v>
      </c>
      <c r="U57">
        <v>0</v>
      </c>
      <c r="V57">
        <v>1</v>
      </c>
      <c r="W57">
        <v>184817</v>
      </c>
      <c r="X57">
        <v>11628</v>
      </c>
      <c r="Y57">
        <v>324</v>
      </c>
      <c r="Z57">
        <v>4712</v>
      </c>
      <c r="AA57">
        <v>2023824</v>
      </c>
      <c r="AB57">
        <v>0</v>
      </c>
    </row>
    <row r="58" spans="1:28" x14ac:dyDescent="0.35">
      <c r="A58" t="s">
        <v>715</v>
      </c>
      <c r="B58">
        <v>2023</v>
      </c>
      <c r="C58">
        <v>2402574</v>
      </c>
      <c r="D58">
        <v>51104</v>
      </c>
      <c r="E58">
        <v>0</v>
      </c>
      <c r="F58">
        <v>0</v>
      </c>
      <c r="G58" t="s">
        <v>420</v>
      </c>
      <c r="H58" t="s">
        <v>420</v>
      </c>
      <c r="I58" t="s">
        <v>420</v>
      </c>
      <c r="J58" t="s">
        <v>420</v>
      </c>
      <c r="K58">
        <v>0</v>
      </c>
      <c r="L58" t="s">
        <v>420</v>
      </c>
      <c r="M58" t="s">
        <v>420</v>
      </c>
      <c r="N58">
        <v>2738522</v>
      </c>
      <c r="O58">
        <v>51104</v>
      </c>
      <c r="P58" t="s">
        <v>420</v>
      </c>
      <c r="Q58" t="s">
        <v>420</v>
      </c>
      <c r="R58" t="s">
        <v>420</v>
      </c>
      <c r="S58" t="s">
        <v>420</v>
      </c>
      <c r="T58" t="s">
        <v>420</v>
      </c>
      <c r="U58" t="s">
        <v>420</v>
      </c>
      <c r="V58">
        <v>2</v>
      </c>
      <c r="W58">
        <v>164753</v>
      </c>
      <c r="X58">
        <v>26889</v>
      </c>
      <c r="Y58">
        <v>11623</v>
      </c>
      <c r="Z58">
        <v>3422</v>
      </c>
      <c r="AA58">
        <v>1659420</v>
      </c>
      <c r="AB58" t="s">
        <v>420</v>
      </c>
    </row>
    <row r="59" spans="1:28" x14ac:dyDescent="0.35">
      <c r="A59" t="s">
        <v>685</v>
      </c>
      <c r="B59">
        <v>2023</v>
      </c>
      <c r="C59" t="s">
        <v>420</v>
      </c>
      <c r="D59">
        <v>0</v>
      </c>
      <c r="E59">
        <v>0</v>
      </c>
      <c r="F59">
        <v>0</v>
      </c>
      <c r="G59" t="s">
        <v>420</v>
      </c>
      <c r="H59" t="s">
        <v>420</v>
      </c>
      <c r="I59" t="s">
        <v>420</v>
      </c>
      <c r="J59" t="s">
        <v>420</v>
      </c>
      <c r="K59">
        <v>0</v>
      </c>
      <c r="L59" t="s">
        <v>420</v>
      </c>
      <c r="M59" t="s">
        <v>420</v>
      </c>
      <c r="N59" t="s">
        <v>420</v>
      </c>
      <c r="O59" t="s">
        <v>420</v>
      </c>
      <c r="P59" t="s">
        <v>420</v>
      </c>
      <c r="Q59" t="s">
        <v>420</v>
      </c>
      <c r="R59" t="s">
        <v>420</v>
      </c>
      <c r="S59" t="s">
        <v>420</v>
      </c>
      <c r="T59" t="s">
        <v>420</v>
      </c>
      <c r="U59" t="s">
        <v>420</v>
      </c>
      <c r="V59">
        <v>2</v>
      </c>
      <c r="W59">
        <v>0</v>
      </c>
      <c r="X59">
        <v>0</v>
      </c>
      <c r="Y59">
        <v>9793</v>
      </c>
      <c r="Z59">
        <v>1289</v>
      </c>
      <c r="AA59">
        <v>0</v>
      </c>
      <c r="AB59" t="s">
        <v>420</v>
      </c>
    </row>
    <row r="60" spans="1:28" x14ac:dyDescent="0.35">
      <c r="A60" t="s">
        <v>648</v>
      </c>
      <c r="B60">
        <v>2023</v>
      </c>
      <c r="C60">
        <v>69463</v>
      </c>
      <c r="D60">
        <v>0</v>
      </c>
      <c r="E60">
        <v>0</v>
      </c>
      <c r="F60">
        <v>0</v>
      </c>
      <c r="G60" t="s">
        <v>420</v>
      </c>
      <c r="H60" t="s">
        <v>420</v>
      </c>
      <c r="I60" t="s">
        <v>420</v>
      </c>
      <c r="J60" t="s">
        <v>420</v>
      </c>
      <c r="K60" t="s">
        <v>420</v>
      </c>
      <c r="L60">
        <v>0</v>
      </c>
      <c r="M60">
        <v>0</v>
      </c>
      <c r="N60">
        <v>72006</v>
      </c>
      <c r="O60" t="s">
        <v>420</v>
      </c>
      <c r="P60" t="s">
        <v>420</v>
      </c>
      <c r="Q60" t="s">
        <v>420</v>
      </c>
      <c r="R60" t="s">
        <v>420</v>
      </c>
      <c r="S60" t="s">
        <v>420</v>
      </c>
      <c r="T60" t="s">
        <v>420</v>
      </c>
      <c r="U60" t="s">
        <v>420</v>
      </c>
      <c r="V60">
        <v>1</v>
      </c>
      <c r="W60">
        <v>12204</v>
      </c>
      <c r="X60">
        <v>5466</v>
      </c>
      <c r="Y60">
        <v>735</v>
      </c>
      <c r="Z60">
        <v>0</v>
      </c>
      <c r="AA60">
        <v>118636</v>
      </c>
      <c r="AB60" t="s">
        <v>420</v>
      </c>
    </row>
    <row r="61" spans="1:28" x14ac:dyDescent="0.35">
      <c r="A61" t="s">
        <v>746</v>
      </c>
      <c r="B61">
        <v>2023</v>
      </c>
      <c r="C61">
        <v>1465034</v>
      </c>
      <c r="D61">
        <v>220</v>
      </c>
      <c r="E61">
        <v>1690927</v>
      </c>
      <c r="F61">
        <v>1566000</v>
      </c>
      <c r="G61">
        <v>1566000</v>
      </c>
      <c r="H61">
        <v>0</v>
      </c>
      <c r="I61">
        <v>0</v>
      </c>
      <c r="J61">
        <v>0</v>
      </c>
      <c r="K61">
        <v>135884</v>
      </c>
      <c r="L61">
        <v>1935000</v>
      </c>
      <c r="M61">
        <v>0</v>
      </c>
      <c r="N61">
        <v>2114142</v>
      </c>
      <c r="O61">
        <v>0</v>
      </c>
      <c r="P61">
        <v>220</v>
      </c>
      <c r="Q61">
        <v>0</v>
      </c>
      <c r="R61">
        <v>0</v>
      </c>
      <c r="S61">
        <v>0</v>
      </c>
      <c r="T61" t="s">
        <v>420</v>
      </c>
      <c r="U61" t="s">
        <v>420</v>
      </c>
      <c r="V61">
        <v>1</v>
      </c>
      <c r="W61">
        <v>233780</v>
      </c>
      <c r="X61">
        <v>14818</v>
      </c>
      <c r="Y61">
        <v>6312</v>
      </c>
      <c r="Z61">
        <v>7112</v>
      </c>
      <c r="AA61">
        <v>3200404</v>
      </c>
      <c r="AB61">
        <v>1199182</v>
      </c>
    </row>
    <row r="62" spans="1:28" x14ac:dyDescent="0.35">
      <c r="A62" t="s">
        <v>717</v>
      </c>
      <c r="B62">
        <v>2023</v>
      </c>
      <c r="C62">
        <v>1854251</v>
      </c>
      <c r="D62">
        <v>34166</v>
      </c>
      <c r="E62">
        <v>172340</v>
      </c>
      <c r="F62">
        <v>0</v>
      </c>
      <c r="G62">
        <v>0</v>
      </c>
      <c r="H62">
        <v>0</v>
      </c>
      <c r="I62">
        <v>0</v>
      </c>
      <c r="J62" t="s">
        <v>420</v>
      </c>
      <c r="K62">
        <v>160340</v>
      </c>
      <c r="L62">
        <v>750880</v>
      </c>
      <c r="M62">
        <v>0</v>
      </c>
      <c r="N62">
        <v>1597443</v>
      </c>
      <c r="O62">
        <v>0</v>
      </c>
      <c r="P62">
        <v>34166</v>
      </c>
      <c r="Q62">
        <v>0</v>
      </c>
      <c r="R62">
        <v>0</v>
      </c>
      <c r="S62">
        <v>0</v>
      </c>
      <c r="T62">
        <v>0</v>
      </c>
      <c r="U62">
        <v>0</v>
      </c>
      <c r="V62">
        <v>1</v>
      </c>
      <c r="W62">
        <v>218578</v>
      </c>
      <c r="X62">
        <v>31375</v>
      </c>
      <c r="Y62">
        <v>3717</v>
      </c>
      <c r="Z62">
        <v>5446</v>
      </c>
      <c r="AA62">
        <v>2319594</v>
      </c>
      <c r="AB62">
        <v>266542</v>
      </c>
    </row>
    <row r="63" spans="1:28" x14ac:dyDescent="0.35">
      <c r="A63" t="s">
        <v>735</v>
      </c>
      <c r="B63">
        <v>2023</v>
      </c>
      <c r="C63">
        <v>852356</v>
      </c>
      <c r="D63">
        <v>79000</v>
      </c>
      <c r="E63">
        <v>0</v>
      </c>
      <c r="F63">
        <v>0</v>
      </c>
      <c r="G63">
        <v>0</v>
      </c>
      <c r="H63">
        <v>0</v>
      </c>
      <c r="I63">
        <v>0</v>
      </c>
      <c r="J63">
        <v>0</v>
      </c>
      <c r="K63">
        <v>25000</v>
      </c>
      <c r="L63">
        <v>0</v>
      </c>
      <c r="M63">
        <v>0</v>
      </c>
      <c r="N63">
        <v>786273</v>
      </c>
      <c r="O63">
        <v>0</v>
      </c>
      <c r="P63">
        <v>71500</v>
      </c>
      <c r="Q63">
        <v>7500</v>
      </c>
      <c r="R63">
        <v>0</v>
      </c>
      <c r="S63">
        <v>0</v>
      </c>
      <c r="T63">
        <v>0</v>
      </c>
      <c r="U63">
        <v>0</v>
      </c>
      <c r="V63">
        <v>1</v>
      </c>
      <c r="W63">
        <v>100907</v>
      </c>
      <c r="X63">
        <v>7860</v>
      </c>
      <c r="Y63">
        <v>2408</v>
      </c>
      <c r="Z63">
        <v>2923</v>
      </c>
      <c r="AA63">
        <v>1617794</v>
      </c>
      <c r="AB63">
        <v>0</v>
      </c>
    </row>
    <row r="64" spans="1:28" x14ac:dyDescent="0.35">
      <c r="A64" t="s">
        <v>686</v>
      </c>
      <c r="B64">
        <v>2023</v>
      </c>
      <c r="C64">
        <v>5011000</v>
      </c>
      <c r="D64">
        <v>184440</v>
      </c>
      <c r="E64">
        <v>1373000</v>
      </c>
      <c r="F64">
        <v>0</v>
      </c>
      <c r="G64">
        <v>0</v>
      </c>
      <c r="H64" t="s">
        <v>420</v>
      </c>
      <c r="I64">
        <v>0</v>
      </c>
      <c r="J64">
        <v>0</v>
      </c>
      <c r="K64">
        <v>1</v>
      </c>
      <c r="L64">
        <v>1818520</v>
      </c>
      <c r="M64">
        <v>0</v>
      </c>
      <c r="N64">
        <v>4935031</v>
      </c>
      <c r="O64">
        <v>0</v>
      </c>
      <c r="P64">
        <v>0</v>
      </c>
      <c r="Q64">
        <v>184440</v>
      </c>
      <c r="R64">
        <v>0</v>
      </c>
      <c r="S64">
        <v>0</v>
      </c>
      <c r="T64" t="s">
        <v>420</v>
      </c>
      <c r="U64" t="s">
        <v>420</v>
      </c>
      <c r="V64">
        <v>2</v>
      </c>
      <c r="W64">
        <v>531188</v>
      </c>
      <c r="X64">
        <v>80035</v>
      </c>
      <c r="Y64">
        <v>0</v>
      </c>
      <c r="Z64">
        <v>0</v>
      </c>
      <c r="AA64">
        <v>5874455</v>
      </c>
      <c r="AB64">
        <v>1071588</v>
      </c>
    </row>
    <row r="65" spans="1:28" x14ac:dyDescent="0.35">
      <c r="A65" t="s">
        <v>520</v>
      </c>
      <c r="B65">
        <v>2023</v>
      </c>
      <c r="C65">
        <v>2770395</v>
      </c>
      <c r="D65">
        <v>0</v>
      </c>
      <c r="E65">
        <v>0</v>
      </c>
      <c r="F65">
        <v>1876770</v>
      </c>
      <c r="G65">
        <v>1876770</v>
      </c>
      <c r="H65">
        <v>0</v>
      </c>
      <c r="I65">
        <v>0</v>
      </c>
      <c r="J65">
        <v>0</v>
      </c>
      <c r="K65">
        <v>0</v>
      </c>
      <c r="L65">
        <v>779583</v>
      </c>
      <c r="M65">
        <v>0</v>
      </c>
      <c r="N65">
        <v>1758229</v>
      </c>
      <c r="O65">
        <v>0</v>
      </c>
      <c r="P65">
        <v>0</v>
      </c>
      <c r="Q65">
        <v>0</v>
      </c>
      <c r="R65">
        <v>0</v>
      </c>
      <c r="S65">
        <v>0</v>
      </c>
      <c r="T65">
        <v>0</v>
      </c>
      <c r="U65">
        <v>0</v>
      </c>
      <c r="V65">
        <v>1</v>
      </c>
      <c r="W65">
        <v>237049</v>
      </c>
      <c r="X65">
        <v>27297</v>
      </c>
      <c r="Y65">
        <v>5796</v>
      </c>
      <c r="Z65">
        <v>3252</v>
      </c>
      <c r="AA65">
        <v>2876059</v>
      </c>
      <c r="AB65">
        <v>270141</v>
      </c>
    </row>
    <row r="66" spans="1:28" x14ac:dyDescent="0.35">
      <c r="A66" t="s">
        <v>712</v>
      </c>
      <c r="B66">
        <v>2023</v>
      </c>
      <c r="C66">
        <v>4438205</v>
      </c>
      <c r="D66">
        <v>2105466</v>
      </c>
      <c r="E66">
        <v>1075578</v>
      </c>
      <c r="F66">
        <v>0</v>
      </c>
      <c r="G66">
        <v>0</v>
      </c>
      <c r="H66" t="s">
        <v>420</v>
      </c>
      <c r="I66">
        <v>0</v>
      </c>
      <c r="J66" t="s">
        <v>420</v>
      </c>
      <c r="K66">
        <v>0</v>
      </c>
      <c r="L66">
        <v>458072</v>
      </c>
      <c r="M66" t="s">
        <v>420</v>
      </c>
      <c r="N66">
        <v>3103008</v>
      </c>
      <c r="O66" t="s">
        <v>420</v>
      </c>
      <c r="P66">
        <v>2105466</v>
      </c>
      <c r="Q66" t="s">
        <v>420</v>
      </c>
      <c r="R66" t="s">
        <v>420</v>
      </c>
      <c r="S66" t="s">
        <v>420</v>
      </c>
      <c r="T66" t="s">
        <v>420</v>
      </c>
      <c r="U66" t="s">
        <v>420</v>
      </c>
      <c r="V66">
        <v>2</v>
      </c>
      <c r="W66">
        <v>316252</v>
      </c>
      <c r="X66">
        <v>49066</v>
      </c>
      <c r="Y66">
        <v>7556</v>
      </c>
      <c r="Z66">
        <v>4319</v>
      </c>
      <c r="AA66">
        <v>3347781</v>
      </c>
      <c r="AB66">
        <v>536450</v>
      </c>
    </row>
    <row r="67" spans="1:28" x14ac:dyDescent="0.35">
      <c r="A67" t="s">
        <v>682</v>
      </c>
      <c r="B67">
        <v>2023</v>
      </c>
      <c r="C67">
        <v>2236356</v>
      </c>
      <c r="D67">
        <v>46006</v>
      </c>
      <c r="E67">
        <v>420887</v>
      </c>
      <c r="F67">
        <v>0</v>
      </c>
      <c r="G67">
        <v>0</v>
      </c>
      <c r="H67" t="s">
        <v>420</v>
      </c>
      <c r="I67">
        <v>0</v>
      </c>
      <c r="J67">
        <v>0</v>
      </c>
      <c r="K67">
        <v>0</v>
      </c>
      <c r="L67">
        <v>44851</v>
      </c>
      <c r="M67">
        <v>0</v>
      </c>
      <c r="N67">
        <v>2087243</v>
      </c>
      <c r="O67">
        <v>0</v>
      </c>
      <c r="P67">
        <v>46006</v>
      </c>
      <c r="Q67">
        <v>0</v>
      </c>
      <c r="R67">
        <v>0</v>
      </c>
      <c r="S67">
        <v>0</v>
      </c>
      <c r="T67" t="s">
        <v>420</v>
      </c>
      <c r="U67" t="s">
        <v>420</v>
      </c>
      <c r="V67">
        <v>2</v>
      </c>
      <c r="W67">
        <v>226471</v>
      </c>
      <c r="X67">
        <v>21150</v>
      </c>
      <c r="Y67">
        <v>0</v>
      </c>
      <c r="Z67">
        <v>0</v>
      </c>
      <c r="AA67">
        <v>2734164</v>
      </c>
      <c r="AB67">
        <v>328263</v>
      </c>
    </row>
    <row r="68" spans="1:28" x14ac:dyDescent="0.35">
      <c r="A68" t="s">
        <v>695</v>
      </c>
      <c r="B68">
        <v>2023</v>
      </c>
      <c r="C68">
        <v>1414070</v>
      </c>
      <c r="D68">
        <v>82718</v>
      </c>
      <c r="E68">
        <v>223851</v>
      </c>
      <c r="F68">
        <v>0</v>
      </c>
      <c r="G68">
        <v>0</v>
      </c>
      <c r="H68" t="s">
        <v>420</v>
      </c>
      <c r="I68">
        <v>0</v>
      </c>
      <c r="J68">
        <v>0</v>
      </c>
      <c r="K68">
        <v>0</v>
      </c>
      <c r="L68">
        <v>0</v>
      </c>
      <c r="M68">
        <v>0</v>
      </c>
      <c r="N68">
        <v>1040745</v>
      </c>
      <c r="O68">
        <v>0</v>
      </c>
      <c r="P68">
        <v>82718</v>
      </c>
      <c r="Q68">
        <v>0</v>
      </c>
      <c r="R68">
        <v>0</v>
      </c>
      <c r="S68">
        <v>0</v>
      </c>
      <c r="T68" t="s">
        <v>420</v>
      </c>
      <c r="U68" t="s">
        <v>420</v>
      </c>
      <c r="V68">
        <v>2</v>
      </c>
      <c r="W68">
        <v>172033</v>
      </c>
      <c r="X68">
        <v>11037</v>
      </c>
      <c r="Y68">
        <v>505</v>
      </c>
      <c r="Z68">
        <v>2499</v>
      </c>
      <c r="AA68">
        <v>1852385</v>
      </c>
      <c r="AB68">
        <v>0</v>
      </c>
    </row>
    <row r="69" spans="1:28" x14ac:dyDescent="0.35">
      <c r="A69" t="s">
        <v>681</v>
      </c>
      <c r="B69">
        <v>2023</v>
      </c>
      <c r="C69" t="s">
        <v>420</v>
      </c>
      <c r="D69">
        <v>0</v>
      </c>
      <c r="E69">
        <v>0</v>
      </c>
      <c r="F69">
        <v>0</v>
      </c>
      <c r="G69" t="s">
        <v>420</v>
      </c>
      <c r="H69" t="s">
        <v>420</v>
      </c>
      <c r="I69" t="s">
        <v>420</v>
      </c>
      <c r="J69" t="s">
        <v>420</v>
      </c>
      <c r="K69">
        <v>0</v>
      </c>
      <c r="L69" t="s">
        <v>420</v>
      </c>
      <c r="M69" t="s">
        <v>420</v>
      </c>
      <c r="N69" t="s">
        <v>420</v>
      </c>
      <c r="O69" t="s">
        <v>420</v>
      </c>
      <c r="P69" t="s">
        <v>420</v>
      </c>
      <c r="Q69" t="s">
        <v>420</v>
      </c>
      <c r="R69" t="s">
        <v>420</v>
      </c>
      <c r="S69" t="s">
        <v>420</v>
      </c>
      <c r="T69" t="s">
        <v>420</v>
      </c>
      <c r="U69" t="s">
        <v>420</v>
      </c>
      <c r="V69">
        <v>2</v>
      </c>
      <c r="W69">
        <v>0</v>
      </c>
      <c r="X69">
        <v>0</v>
      </c>
      <c r="Y69">
        <v>255</v>
      </c>
      <c r="Z69">
        <v>11832</v>
      </c>
      <c r="AA69">
        <v>0</v>
      </c>
      <c r="AB69" t="s">
        <v>420</v>
      </c>
    </row>
    <row r="70" spans="1:28" x14ac:dyDescent="0.35">
      <c r="A70" t="s">
        <v>699</v>
      </c>
      <c r="B70">
        <v>2023</v>
      </c>
      <c r="C70">
        <v>1437967</v>
      </c>
      <c r="D70">
        <v>44340</v>
      </c>
      <c r="E70">
        <v>0</v>
      </c>
      <c r="F70">
        <v>0</v>
      </c>
      <c r="G70">
        <v>0</v>
      </c>
      <c r="H70" t="s">
        <v>420</v>
      </c>
      <c r="I70">
        <v>0</v>
      </c>
      <c r="J70">
        <v>0</v>
      </c>
      <c r="K70">
        <v>0</v>
      </c>
      <c r="L70">
        <v>0</v>
      </c>
      <c r="M70">
        <v>0</v>
      </c>
      <c r="N70">
        <v>1121298</v>
      </c>
      <c r="O70">
        <v>0</v>
      </c>
      <c r="P70">
        <v>44340</v>
      </c>
      <c r="Q70">
        <v>0</v>
      </c>
      <c r="R70">
        <v>0</v>
      </c>
      <c r="S70">
        <v>0</v>
      </c>
      <c r="T70" t="s">
        <v>420</v>
      </c>
      <c r="U70">
        <v>0</v>
      </c>
      <c r="V70">
        <v>2</v>
      </c>
      <c r="W70">
        <v>133292</v>
      </c>
      <c r="X70">
        <v>8520</v>
      </c>
      <c r="Y70">
        <v>205</v>
      </c>
      <c r="Z70">
        <v>3779</v>
      </c>
      <c r="AA70">
        <v>1631071</v>
      </c>
      <c r="AB70">
        <v>0</v>
      </c>
    </row>
    <row r="71" spans="1:28" x14ac:dyDescent="0.35">
      <c r="A71" t="s">
        <v>698</v>
      </c>
      <c r="B71">
        <v>2023</v>
      </c>
      <c r="C71">
        <v>2611244</v>
      </c>
      <c r="D71">
        <v>67033</v>
      </c>
      <c r="E71">
        <v>0</v>
      </c>
      <c r="F71">
        <v>0</v>
      </c>
      <c r="G71">
        <v>0</v>
      </c>
      <c r="H71" t="s">
        <v>420</v>
      </c>
      <c r="I71">
        <v>0</v>
      </c>
      <c r="J71">
        <v>0</v>
      </c>
      <c r="K71">
        <v>0</v>
      </c>
      <c r="L71">
        <v>0</v>
      </c>
      <c r="M71">
        <v>0</v>
      </c>
      <c r="N71">
        <v>1915506</v>
      </c>
      <c r="O71">
        <v>0</v>
      </c>
      <c r="P71">
        <v>67033</v>
      </c>
      <c r="Q71">
        <v>0</v>
      </c>
      <c r="R71">
        <v>0</v>
      </c>
      <c r="S71">
        <v>0</v>
      </c>
      <c r="T71" t="s">
        <v>420</v>
      </c>
      <c r="U71">
        <v>0</v>
      </c>
      <c r="V71">
        <v>2</v>
      </c>
      <c r="W71">
        <v>223609</v>
      </c>
      <c r="X71">
        <v>15482</v>
      </c>
      <c r="Y71">
        <v>584</v>
      </c>
      <c r="Z71">
        <v>0</v>
      </c>
      <c r="AA71">
        <v>2840293</v>
      </c>
      <c r="AB71">
        <v>0</v>
      </c>
    </row>
    <row r="72" spans="1:28" x14ac:dyDescent="0.35">
      <c r="A72" t="s">
        <v>697</v>
      </c>
      <c r="B72">
        <v>2023</v>
      </c>
      <c r="C72">
        <v>1201636</v>
      </c>
      <c r="D72">
        <v>194867</v>
      </c>
      <c r="E72">
        <v>162431</v>
      </c>
      <c r="F72">
        <v>0</v>
      </c>
      <c r="G72">
        <v>0</v>
      </c>
      <c r="H72" t="s">
        <v>420</v>
      </c>
      <c r="I72">
        <v>0</v>
      </c>
      <c r="J72">
        <v>0</v>
      </c>
      <c r="K72">
        <v>0</v>
      </c>
      <c r="L72">
        <v>24811</v>
      </c>
      <c r="M72">
        <v>0</v>
      </c>
      <c r="N72">
        <v>862581</v>
      </c>
      <c r="O72">
        <v>0</v>
      </c>
      <c r="P72">
        <v>194867</v>
      </c>
      <c r="Q72">
        <v>0</v>
      </c>
      <c r="R72">
        <v>0</v>
      </c>
      <c r="S72">
        <v>0</v>
      </c>
      <c r="T72" t="s">
        <v>420</v>
      </c>
      <c r="U72" t="s">
        <v>420</v>
      </c>
      <c r="V72">
        <v>2</v>
      </c>
      <c r="W72">
        <v>96543</v>
      </c>
      <c r="X72">
        <v>5857</v>
      </c>
      <c r="Y72">
        <v>3888</v>
      </c>
      <c r="Z72">
        <v>3826</v>
      </c>
      <c r="AA72">
        <v>1007087</v>
      </c>
      <c r="AB72">
        <v>238297</v>
      </c>
    </row>
    <row r="73" spans="1:28" x14ac:dyDescent="0.35">
      <c r="A73" t="s">
        <v>687</v>
      </c>
      <c r="B73">
        <v>2023</v>
      </c>
      <c r="C73" t="s">
        <v>420</v>
      </c>
      <c r="D73">
        <v>0</v>
      </c>
      <c r="E73">
        <v>0</v>
      </c>
      <c r="F73">
        <v>0</v>
      </c>
      <c r="G73" t="s">
        <v>420</v>
      </c>
      <c r="H73" t="s">
        <v>420</v>
      </c>
      <c r="I73" t="s">
        <v>420</v>
      </c>
      <c r="J73" t="s">
        <v>420</v>
      </c>
      <c r="K73">
        <v>0</v>
      </c>
      <c r="L73" t="s">
        <v>420</v>
      </c>
      <c r="M73" t="s">
        <v>420</v>
      </c>
      <c r="N73" t="s">
        <v>420</v>
      </c>
      <c r="O73" t="s">
        <v>420</v>
      </c>
      <c r="P73" t="s">
        <v>420</v>
      </c>
      <c r="Q73" t="s">
        <v>420</v>
      </c>
      <c r="R73" t="s">
        <v>420</v>
      </c>
      <c r="S73" t="s">
        <v>420</v>
      </c>
      <c r="T73" t="s">
        <v>420</v>
      </c>
      <c r="U73" t="s">
        <v>420</v>
      </c>
      <c r="V73">
        <v>2</v>
      </c>
      <c r="W73">
        <v>0</v>
      </c>
      <c r="X73">
        <v>0</v>
      </c>
      <c r="Y73">
        <v>31022</v>
      </c>
      <c r="Z73">
        <v>977</v>
      </c>
      <c r="AA73">
        <v>0</v>
      </c>
      <c r="AB73" t="s">
        <v>420</v>
      </c>
    </row>
    <row r="74" spans="1:28" x14ac:dyDescent="0.35">
      <c r="A74" t="s">
        <v>688</v>
      </c>
      <c r="B74">
        <v>2023</v>
      </c>
      <c r="C74" t="s">
        <v>420</v>
      </c>
      <c r="D74">
        <v>0</v>
      </c>
      <c r="E74">
        <v>0</v>
      </c>
      <c r="F74">
        <v>0</v>
      </c>
      <c r="G74" t="s">
        <v>420</v>
      </c>
      <c r="H74" t="s">
        <v>420</v>
      </c>
      <c r="I74" t="s">
        <v>420</v>
      </c>
      <c r="J74" t="s">
        <v>420</v>
      </c>
      <c r="K74">
        <v>0</v>
      </c>
      <c r="L74" t="s">
        <v>420</v>
      </c>
      <c r="M74" t="s">
        <v>420</v>
      </c>
      <c r="N74" t="s">
        <v>420</v>
      </c>
      <c r="O74" t="s">
        <v>420</v>
      </c>
      <c r="P74" t="s">
        <v>420</v>
      </c>
      <c r="Q74" t="s">
        <v>420</v>
      </c>
      <c r="R74" t="s">
        <v>420</v>
      </c>
      <c r="S74" t="s">
        <v>420</v>
      </c>
      <c r="T74" t="s">
        <v>420</v>
      </c>
      <c r="U74" t="s">
        <v>420</v>
      </c>
      <c r="V74">
        <v>2</v>
      </c>
      <c r="W74">
        <v>0</v>
      </c>
      <c r="X74">
        <v>0</v>
      </c>
      <c r="Y74">
        <v>3152</v>
      </c>
      <c r="Z74">
        <v>1681</v>
      </c>
      <c r="AA74">
        <v>0</v>
      </c>
      <c r="AB74" t="s">
        <v>420</v>
      </c>
    </row>
    <row r="75" spans="1:28" x14ac:dyDescent="0.35">
      <c r="A75" t="s">
        <v>690</v>
      </c>
      <c r="B75">
        <v>2023</v>
      </c>
      <c r="C75">
        <v>1360469</v>
      </c>
      <c r="D75">
        <v>23995</v>
      </c>
      <c r="E75">
        <v>406241</v>
      </c>
      <c r="F75">
        <v>0</v>
      </c>
      <c r="G75">
        <v>0</v>
      </c>
      <c r="H75" t="s">
        <v>420</v>
      </c>
      <c r="I75">
        <v>0</v>
      </c>
      <c r="J75">
        <v>0</v>
      </c>
      <c r="K75">
        <v>0</v>
      </c>
      <c r="L75">
        <v>335644</v>
      </c>
      <c r="M75">
        <v>0</v>
      </c>
      <c r="N75">
        <v>1633731</v>
      </c>
      <c r="O75">
        <v>0</v>
      </c>
      <c r="P75">
        <v>23995</v>
      </c>
      <c r="Q75">
        <v>0</v>
      </c>
      <c r="R75">
        <v>0</v>
      </c>
      <c r="S75">
        <v>0</v>
      </c>
      <c r="T75" t="s">
        <v>420</v>
      </c>
      <c r="U75" t="s">
        <v>420</v>
      </c>
      <c r="V75">
        <v>2</v>
      </c>
      <c r="W75">
        <v>177969</v>
      </c>
      <c r="X75">
        <v>21389</v>
      </c>
      <c r="Y75">
        <v>1437</v>
      </c>
      <c r="Z75">
        <v>1383</v>
      </c>
      <c r="AA75">
        <v>1933568</v>
      </c>
      <c r="AB75">
        <v>399561</v>
      </c>
    </row>
    <row r="76" spans="1:28" x14ac:dyDescent="0.35">
      <c r="A76" t="s">
        <v>689</v>
      </c>
      <c r="B76">
        <v>2023</v>
      </c>
      <c r="C76">
        <v>1414637</v>
      </c>
      <c r="D76">
        <v>41434</v>
      </c>
      <c r="E76">
        <v>0</v>
      </c>
      <c r="F76">
        <v>0</v>
      </c>
      <c r="G76">
        <v>0</v>
      </c>
      <c r="H76" t="s">
        <v>420</v>
      </c>
      <c r="I76">
        <v>0</v>
      </c>
      <c r="J76">
        <v>0</v>
      </c>
      <c r="K76">
        <v>0</v>
      </c>
      <c r="L76">
        <v>0</v>
      </c>
      <c r="M76">
        <v>0</v>
      </c>
      <c r="N76">
        <v>1511607</v>
      </c>
      <c r="O76">
        <v>0</v>
      </c>
      <c r="P76">
        <v>41434</v>
      </c>
      <c r="Q76">
        <v>0</v>
      </c>
      <c r="R76">
        <v>0</v>
      </c>
      <c r="S76">
        <v>0</v>
      </c>
      <c r="T76" t="s">
        <v>420</v>
      </c>
      <c r="U76" t="s">
        <v>420</v>
      </c>
      <c r="V76">
        <v>2</v>
      </c>
      <c r="W76">
        <v>204561</v>
      </c>
      <c r="X76">
        <v>18610</v>
      </c>
      <c r="Y76">
        <v>16585</v>
      </c>
      <c r="Z76">
        <v>1489</v>
      </c>
      <c r="AA76">
        <v>2059414</v>
      </c>
      <c r="AB76">
        <v>0</v>
      </c>
    </row>
    <row r="77" spans="1:28" x14ac:dyDescent="0.35">
      <c r="A77" t="s">
        <v>736</v>
      </c>
      <c r="B77">
        <v>2023</v>
      </c>
      <c r="C77">
        <v>841252</v>
      </c>
      <c r="D77">
        <v>57910</v>
      </c>
      <c r="E77">
        <v>0</v>
      </c>
      <c r="F77">
        <v>0</v>
      </c>
      <c r="G77">
        <v>0</v>
      </c>
      <c r="H77">
        <v>0</v>
      </c>
      <c r="I77">
        <v>0</v>
      </c>
      <c r="J77">
        <v>0</v>
      </c>
      <c r="K77">
        <v>0</v>
      </c>
      <c r="L77">
        <v>0</v>
      </c>
      <c r="M77">
        <v>0</v>
      </c>
      <c r="N77">
        <v>934080</v>
      </c>
      <c r="O77">
        <v>57910</v>
      </c>
      <c r="P77">
        <v>0</v>
      </c>
      <c r="Q77">
        <v>0</v>
      </c>
      <c r="R77">
        <v>0</v>
      </c>
      <c r="S77">
        <v>0</v>
      </c>
      <c r="T77">
        <v>0</v>
      </c>
      <c r="U77">
        <v>0</v>
      </c>
      <c r="V77">
        <v>1</v>
      </c>
      <c r="W77">
        <v>96306</v>
      </c>
      <c r="X77">
        <v>14078</v>
      </c>
      <c r="Y77">
        <v>840</v>
      </c>
      <c r="Z77">
        <v>3377</v>
      </c>
      <c r="AA77">
        <v>1031045</v>
      </c>
      <c r="AB77">
        <v>0</v>
      </c>
    </row>
    <row r="78" spans="1:28" x14ac:dyDescent="0.35">
      <c r="A78" t="s">
        <v>708</v>
      </c>
      <c r="B78">
        <v>2023</v>
      </c>
      <c r="C78">
        <v>1822923</v>
      </c>
      <c r="D78">
        <v>0</v>
      </c>
      <c r="E78">
        <v>0</v>
      </c>
      <c r="F78">
        <v>0</v>
      </c>
      <c r="G78">
        <v>0</v>
      </c>
      <c r="H78">
        <v>0</v>
      </c>
      <c r="I78">
        <v>0</v>
      </c>
      <c r="J78">
        <v>0</v>
      </c>
      <c r="K78">
        <v>186029</v>
      </c>
      <c r="L78">
        <v>2925</v>
      </c>
      <c r="M78">
        <v>0</v>
      </c>
      <c r="N78">
        <v>1155149</v>
      </c>
      <c r="O78" t="s">
        <v>420</v>
      </c>
      <c r="P78" t="s">
        <v>420</v>
      </c>
      <c r="Q78" t="s">
        <v>420</v>
      </c>
      <c r="R78" t="s">
        <v>420</v>
      </c>
      <c r="S78" t="s">
        <v>420</v>
      </c>
      <c r="T78" t="s">
        <v>420</v>
      </c>
      <c r="U78" t="s">
        <v>420</v>
      </c>
      <c r="V78">
        <v>2</v>
      </c>
      <c r="W78">
        <v>131126</v>
      </c>
      <c r="X78">
        <v>15386</v>
      </c>
      <c r="Y78">
        <v>3335</v>
      </c>
      <c r="Z78">
        <v>2842</v>
      </c>
      <c r="AA78">
        <v>1972374</v>
      </c>
      <c r="AB78">
        <v>450</v>
      </c>
    </row>
    <row r="79" spans="1:28" x14ac:dyDescent="0.35">
      <c r="A79" t="s">
        <v>723</v>
      </c>
      <c r="B79">
        <v>2023</v>
      </c>
      <c r="C79">
        <v>3211246</v>
      </c>
      <c r="D79">
        <v>260947</v>
      </c>
      <c r="E79">
        <v>0</v>
      </c>
      <c r="F79">
        <v>0</v>
      </c>
      <c r="G79">
        <v>0</v>
      </c>
      <c r="H79">
        <v>0</v>
      </c>
      <c r="I79">
        <v>0</v>
      </c>
      <c r="J79">
        <v>0</v>
      </c>
      <c r="K79">
        <v>0</v>
      </c>
      <c r="L79">
        <v>0</v>
      </c>
      <c r="M79">
        <v>0</v>
      </c>
      <c r="N79">
        <v>2281647</v>
      </c>
      <c r="O79">
        <v>12615</v>
      </c>
      <c r="P79">
        <v>248332</v>
      </c>
      <c r="Q79">
        <v>0</v>
      </c>
      <c r="R79">
        <v>0</v>
      </c>
      <c r="S79">
        <v>0</v>
      </c>
      <c r="T79">
        <v>0</v>
      </c>
      <c r="U79">
        <v>0</v>
      </c>
      <c r="V79">
        <v>1</v>
      </c>
      <c r="W79">
        <v>278120</v>
      </c>
      <c r="X79">
        <v>50011</v>
      </c>
      <c r="Y79">
        <v>2821</v>
      </c>
      <c r="Z79">
        <v>7046</v>
      </c>
      <c r="AA79">
        <v>3198244</v>
      </c>
      <c r="AB79">
        <v>0</v>
      </c>
    </row>
    <row r="80" spans="1:28" x14ac:dyDescent="0.35">
      <c r="A80" t="s">
        <v>747</v>
      </c>
      <c r="B80">
        <v>2023</v>
      </c>
      <c r="C80">
        <v>590171</v>
      </c>
      <c r="D80">
        <v>0</v>
      </c>
      <c r="E80">
        <v>0</v>
      </c>
      <c r="F80">
        <v>0</v>
      </c>
      <c r="G80" t="s">
        <v>420</v>
      </c>
      <c r="H80" t="s">
        <v>420</v>
      </c>
      <c r="I80" t="s">
        <v>420</v>
      </c>
      <c r="J80" t="s">
        <v>420</v>
      </c>
      <c r="K80">
        <v>0</v>
      </c>
      <c r="L80" t="s">
        <v>420</v>
      </c>
      <c r="M80" t="s">
        <v>420</v>
      </c>
      <c r="N80">
        <v>305420</v>
      </c>
      <c r="O80" t="s">
        <v>420</v>
      </c>
      <c r="P80" t="s">
        <v>420</v>
      </c>
      <c r="Q80" t="s">
        <v>420</v>
      </c>
      <c r="R80" t="s">
        <v>420</v>
      </c>
      <c r="S80" t="s">
        <v>420</v>
      </c>
      <c r="T80" t="s">
        <v>420</v>
      </c>
      <c r="U80" t="s">
        <v>420</v>
      </c>
      <c r="V80">
        <v>1</v>
      </c>
      <c r="W80">
        <v>30524</v>
      </c>
      <c r="X80">
        <v>3937</v>
      </c>
      <c r="Y80">
        <v>1098</v>
      </c>
      <c r="Z80">
        <v>6228</v>
      </c>
      <c r="AA80">
        <v>414690</v>
      </c>
      <c r="AB80" t="s">
        <v>420</v>
      </c>
    </row>
    <row r="81" spans="1:28" x14ac:dyDescent="0.35">
      <c r="A81" t="s">
        <v>728</v>
      </c>
      <c r="B81">
        <v>2023</v>
      </c>
      <c r="C81">
        <v>2784734</v>
      </c>
      <c r="D81">
        <v>0</v>
      </c>
      <c r="E81">
        <v>183952</v>
      </c>
      <c r="F81">
        <v>0</v>
      </c>
      <c r="G81">
        <v>0</v>
      </c>
      <c r="H81">
        <v>0</v>
      </c>
      <c r="I81">
        <v>0</v>
      </c>
      <c r="J81">
        <v>0</v>
      </c>
      <c r="K81">
        <v>0</v>
      </c>
      <c r="L81">
        <v>0</v>
      </c>
      <c r="M81">
        <v>0</v>
      </c>
      <c r="N81">
        <v>2604294</v>
      </c>
      <c r="O81">
        <v>0</v>
      </c>
      <c r="P81">
        <v>0</v>
      </c>
      <c r="Q81">
        <v>0</v>
      </c>
      <c r="R81">
        <v>0</v>
      </c>
      <c r="S81">
        <v>0</v>
      </c>
      <c r="T81">
        <v>0</v>
      </c>
      <c r="U81">
        <v>0</v>
      </c>
      <c r="V81">
        <v>1</v>
      </c>
      <c r="W81">
        <v>272896</v>
      </c>
      <c r="X81">
        <v>30010</v>
      </c>
      <c r="Y81">
        <v>4527</v>
      </c>
      <c r="Z81">
        <v>12770</v>
      </c>
      <c r="AA81">
        <v>5334748</v>
      </c>
      <c r="AB81">
        <v>189925</v>
      </c>
    </row>
    <row r="82" spans="1:28" x14ac:dyDescent="0.35">
      <c r="A82" t="s">
        <v>702</v>
      </c>
      <c r="B82">
        <v>2023</v>
      </c>
      <c r="C82">
        <v>1828618</v>
      </c>
      <c r="D82">
        <v>0</v>
      </c>
      <c r="E82">
        <v>0</v>
      </c>
      <c r="F82">
        <v>0</v>
      </c>
      <c r="G82">
        <v>0</v>
      </c>
      <c r="H82">
        <v>0</v>
      </c>
      <c r="I82">
        <v>0</v>
      </c>
      <c r="J82">
        <v>0</v>
      </c>
      <c r="K82">
        <v>0</v>
      </c>
      <c r="L82">
        <v>0</v>
      </c>
      <c r="M82">
        <v>0</v>
      </c>
      <c r="N82">
        <v>1980812</v>
      </c>
      <c r="O82">
        <v>0</v>
      </c>
      <c r="P82">
        <v>0</v>
      </c>
      <c r="Q82">
        <v>0</v>
      </c>
      <c r="R82">
        <v>0</v>
      </c>
      <c r="S82">
        <v>0</v>
      </c>
      <c r="T82">
        <v>0</v>
      </c>
      <c r="U82">
        <v>0</v>
      </c>
      <c r="V82">
        <v>2</v>
      </c>
      <c r="W82">
        <v>316280</v>
      </c>
      <c r="X82">
        <v>23802</v>
      </c>
      <c r="Y82">
        <v>1347</v>
      </c>
      <c r="Z82">
        <v>4099</v>
      </c>
      <c r="AA82">
        <v>3346126</v>
      </c>
      <c r="AB82">
        <v>0</v>
      </c>
    </row>
    <row r="83" spans="1:28" x14ac:dyDescent="0.35">
      <c r="A83" t="s">
        <v>737</v>
      </c>
      <c r="B83">
        <v>2023</v>
      </c>
      <c r="C83">
        <v>246974</v>
      </c>
      <c r="D83">
        <v>0</v>
      </c>
      <c r="E83">
        <v>0</v>
      </c>
      <c r="F83">
        <v>0</v>
      </c>
      <c r="G83" t="s">
        <v>420</v>
      </c>
      <c r="H83" t="s">
        <v>420</v>
      </c>
      <c r="I83" t="s">
        <v>420</v>
      </c>
      <c r="J83" t="s">
        <v>420</v>
      </c>
      <c r="K83" t="s">
        <v>420</v>
      </c>
      <c r="L83">
        <v>0</v>
      </c>
      <c r="M83">
        <v>0</v>
      </c>
      <c r="N83">
        <v>184062</v>
      </c>
      <c r="O83" t="s">
        <v>420</v>
      </c>
      <c r="P83" t="s">
        <v>420</v>
      </c>
      <c r="Q83" t="s">
        <v>420</v>
      </c>
      <c r="R83" t="s">
        <v>420</v>
      </c>
      <c r="S83" t="s">
        <v>420</v>
      </c>
      <c r="T83" t="s">
        <v>420</v>
      </c>
      <c r="U83" t="s">
        <v>420</v>
      </c>
      <c r="V83">
        <v>1</v>
      </c>
      <c r="W83">
        <v>22008</v>
      </c>
      <c r="X83">
        <v>2204</v>
      </c>
      <c r="Y83">
        <v>182</v>
      </c>
      <c r="Z83">
        <v>368</v>
      </c>
      <c r="AA83">
        <v>182925</v>
      </c>
      <c r="AB83" t="s">
        <v>420</v>
      </c>
    </row>
    <row r="84" spans="1:28" x14ac:dyDescent="0.35">
      <c r="A84" t="s">
        <v>741</v>
      </c>
      <c r="B84">
        <v>2023</v>
      </c>
      <c r="C84">
        <v>4727766</v>
      </c>
      <c r="D84">
        <v>0</v>
      </c>
      <c r="E84">
        <v>1185301</v>
      </c>
      <c r="F84">
        <v>0</v>
      </c>
      <c r="G84">
        <v>0</v>
      </c>
      <c r="H84">
        <v>0</v>
      </c>
      <c r="I84">
        <v>0</v>
      </c>
      <c r="J84">
        <v>0</v>
      </c>
      <c r="K84">
        <v>0</v>
      </c>
      <c r="L84">
        <v>1384866</v>
      </c>
      <c r="M84">
        <v>0</v>
      </c>
      <c r="N84">
        <v>3913330</v>
      </c>
      <c r="O84">
        <v>0</v>
      </c>
      <c r="P84">
        <v>0</v>
      </c>
      <c r="Q84">
        <v>0</v>
      </c>
      <c r="R84">
        <v>0</v>
      </c>
      <c r="S84">
        <v>0</v>
      </c>
      <c r="T84">
        <v>0</v>
      </c>
      <c r="U84">
        <v>0</v>
      </c>
      <c r="V84">
        <v>1</v>
      </c>
      <c r="W84">
        <v>412927</v>
      </c>
      <c r="X84">
        <v>27371</v>
      </c>
      <c r="Y84">
        <v>929</v>
      </c>
      <c r="Z84">
        <v>15406</v>
      </c>
      <c r="AA84">
        <v>5201479</v>
      </c>
      <c r="AB84">
        <v>354883</v>
      </c>
    </row>
    <row r="85" spans="1:28" x14ac:dyDescent="0.35">
      <c r="A85" t="s">
        <v>703</v>
      </c>
      <c r="B85">
        <v>2023</v>
      </c>
      <c r="C85">
        <v>4653140</v>
      </c>
      <c r="D85">
        <v>179970</v>
      </c>
      <c r="E85">
        <v>1746000</v>
      </c>
      <c r="F85">
        <v>4000</v>
      </c>
      <c r="G85">
        <v>4000</v>
      </c>
      <c r="H85" t="s">
        <v>420</v>
      </c>
      <c r="I85" t="s">
        <v>420</v>
      </c>
      <c r="J85" t="s">
        <v>420</v>
      </c>
      <c r="K85">
        <v>0</v>
      </c>
      <c r="L85">
        <v>191161</v>
      </c>
      <c r="M85" t="s">
        <v>420</v>
      </c>
      <c r="N85">
        <v>3103008</v>
      </c>
      <c r="O85">
        <v>179970</v>
      </c>
      <c r="P85">
        <v>0</v>
      </c>
      <c r="Q85">
        <v>0</v>
      </c>
      <c r="R85">
        <v>0</v>
      </c>
      <c r="S85">
        <v>0</v>
      </c>
      <c r="T85" t="s">
        <v>420</v>
      </c>
      <c r="U85" t="s">
        <v>420</v>
      </c>
      <c r="V85">
        <v>2</v>
      </c>
      <c r="W85">
        <v>435671</v>
      </c>
      <c r="X85">
        <v>30626</v>
      </c>
      <c r="Y85">
        <v>4262</v>
      </c>
      <c r="Z85">
        <v>3499</v>
      </c>
      <c r="AA85">
        <v>7134515</v>
      </c>
      <c r="AB85">
        <v>734792</v>
      </c>
    </row>
    <row r="86" spans="1:28" x14ac:dyDescent="0.35">
      <c r="A86" t="s">
        <v>602</v>
      </c>
      <c r="B86">
        <v>2023</v>
      </c>
      <c r="C86">
        <v>2965722</v>
      </c>
      <c r="D86">
        <v>0</v>
      </c>
      <c r="E86">
        <v>0</v>
      </c>
      <c r="F86">
        <v>0</v>
      </c>
      <c r="G86" t="s">
        <v>420</v>
      </c>
      <c r="H86" t="s">
        <v>420</v>
      </c>
      <c r="I86" t="s">
        <v>420</v>
      </c>
      <c r="J86" t="s">
        <v>420</v>
      </c>
      <c r="K86">
        <v>0</v>
      </c>
      <c r="L86" t="s">
        <v>420</v>
      </c>
      <c r="M86">
        <v>95331</v>
      </c>
      <c r="N86">
        <v>2591212</v>
      </c>
      <c r="O86" t="s">
        <v>420</v>
      </c>
      <c r="P86" t="s">
        <v>420</v>
      </c>
      <c r="Q86" t="s">
        <v>420</v>
      </c>
      <c r="R86" t="s">
        <v>420</v>
      </c>
      <c r="S86" t="s">
        <v>420</v>
      </c>
      <c r="T86" t="s">
        <v>420</v>
      </c>
      <c r="U86" t="s">
        <v>420</v>
      </c>
      <c r="V86">
        <v>1</v>
      </c>
      <c r="W86">
        <v>292822</v>
      </c>
      <c r="X86">
        <v>23238</v>
      </c>
      <c r="Y86">
        <v>4434</v>
      </c>
      <c r="Z86">
        <v>10010</v>
      </c>
      <c r="AA86">
        <v>4263741</v>
      </c>
      <c r="AB86" t="s">
        <v>420</v>
      </c>
    </row>
    <row r="87" spans="1:28" x14ac:dyDescent="0.35">
      <c r="A87" t="s">
        <v>582</v>
      </c>
      <c r="B87">
        <v>2023</v>
      </c>
      <c r="C87">
        <v>1836708</v>
      </c>
      <c r="D87">
        <v>44660</v>
      </c>
      <c r="E87">
        <v>0</v>
      </c>
      <c r="F87">
        <v>0</v>
      </c>
      <c r="G87">
        <v>0</v>
      </c>
      <c r="H87">
        <v>0</v>
      </c>
      <c r="I87">
        <v>0</v>
      </c>
      <c r="J87">
        <v>0</v>
      </c>
      <c r="K87">
        <v>0</v>
      </c>
      <c r="L87">
        <v>0</v>
      </c>
      <c r="M87">
        <v>0</v>
      </c>
      <c r="N87">
        <v>1855260</v>
      </c>
      <c r="O87">
        <v>23118</v>
      </c>
      <c r="P87">
        <v>8740</v>
      </c>
      <c r="Q87">
        <v>12803</v>
      </c>
      <c r="R87">
        <v>0</v>
      </c>
      <c r="S87">
        <v>0</v>
      </c>
      <c r="T87">
        <v>0</v>
      </c>
      <c r="U87">
        <v>0</v>
      </c>
      <c r="V87">
        <v>1</v>
      </c>
      <c r="W87">
        <v>175277</v>
      </c>
      <c r="X87">
        <v>29031</v>
      </c>
      <c r="Y87">
        <v>17356</v>
      </c>
      <c r="Z87">
        <v>8266</v>
      </c>
      <c r="AA87">
        <v>2318746</v>
      </c>
      <c r="AB87">
        <v>0</v>
      </c>
    </row>
    <row r="88" spans="1:28" x14ac:dyDescent="0.35">
      <c r="A88" t="s">
        <v>726</v>
      </c>
      <c r="B88">
        <v>2023</v>
      </c>
      <c r="C88">
        <v>3486116</v>
      </c>
      <c r="D88">
        <v>55727</v>
      </c>
      <c r="E88">
        <v>780925</v>
      </c>
      <c r="F88">
        <v>0</v>
      </c>
      <c r="G88">
        <v>0</v>
      </c>
      <c r="H88">
        <v>0</v>
      </c>
      <c r="I88">
        <v>0</v>
      </c>
      <c r="J88">
        <v>0</v>
      </c>
      <c r="K88">
        <v>0</v>
      </c>
      <c r="L88">
        <v>0</v>
      </c>
      <c r="M88">
        <v>0</v>
      </c>
      <c r="N88">
        <v>3183637</v>
      </c>
      <c r="O88">
        <v>0</v>
      </c>
      <c r="P88">
        <v>0</v>
      </c>
      <c r="Q88">
        <v>55727</v>
      </c>
      <c r="R88">
        <v>0</v>
      </c>
      <c r="S88">
        <v>0</v>
      </c>
      <c r="T88">
        <v>0</v>
      </c>
      <c r="U88">
        <v>0</v>
      </c>
      <c r="V88">
        <v>1</v>
      </c>
      <c r="W88">
        <v>317094</v>
      </c>
      <c r="X88">
        <v>39892</v>
      </c>
      <c r="Y88">
        <v>2778</v>
      </c>
      <c r="Z88">
        <v>10763</v>
      </c>
      <c r="AA88">
        <v>3090253</v>
      </c>
      <c r="AB88">
        <v>346791</v>
      </c>
    </row>
    <row r="89" spans="1:28" x14ac:dyDescent="0.35">
      <c r="A89" t="s">
        <v>704</v>
      </c>
      <c r="B89">
        <v>2023</v>
      </c>
      <c r="C89">
        <v>1402497</v>
      </c>
      <c r="D89">
        <v>16391</v>
      </c>
      <c r="E89">
        <v>0</v>
      </c>
      <c r="F89">
        <v>0</v>
      </c>
      <c r="G89">
        <v>0</v>
      </c>
      <c r="H89">
        <v>0</v>
      </c>
      <c r="I89">
        <v>0</v>
      </c>
      <c r="J89">
        <v>0</v>
      </c>
      <c r="K89">
        <v>298424</v>
      </c>
      <c r="L89">
        <v>162873</v>
      </c>
      <c r="M89">
        <v>0</v>
      </c>
      <c r="N89">
        <v>1003951</v>
      </c>
      <c r="O89">
        <v>0</v>
      </c>
      <c r="P89">
        <v>16391</v>
      </c>
      <c r="Q89">
        <v>0</v>
      </c>
      <c r="R89">
        <v>0</v>
      </c>
      <c r="S89">
        <v>0</v>
      </c>
      <c r="T89">
        <v>0</v>
      </c>
      <c r="U89">
        <v>0</v>
      </c>
      <c r="V89">
        <v>2</v>
      </c>
      <c r="W89">
        <v>114847</v>
      </c>
      <c r="X89">
        <v>13447</v>
      </c>
      <c r="Y89">
        <v>1784</v>
      </c>
      <c r="Z89">
        <v>3924</v>
      </c>
      <c r="AA89">
        <v>1466909</v>
      </c>
      <c r="AB89">
        <v>0</v>
      </c>
    </row>
    <row r="90" spans="1:28" x14ac:dyDescent="0.35">
      <c r="A90" t="s">
        <v>734</v>
      </c>
      <c r="B90">
        <v>2023</v>
      </c>
      <c r="C90">
        <v>656210</v>
      </c>
      <c r="D90">
        <v>0</v>
      </c>
      <c r="E90">
        <v>0</v>
      </c>
      <c r="F90">
        <v>0</v>
      </c>
      <c r="G90">
        <v>0</v>
      </c>
      <c r="H90">
        <v>0</v>
      </c>
      <c r="I90">
        <v>0</v>
      </c>
      <c r="J90">
        <v>0</v>
      </c>
      <c r="K90">
        <v>115563</v>
      </c>
      <c r="L90">
        <v>0</v>
      </c>
      <c r="M90">
        <v>0</v>
      </c>
      <c r="N90">
        <v>823538</v>
      </c>
      <c r="O90">
        <v>0</v>
      </c>
      <c r="P90">
        <v>0</v>
      </c>
      <c r="Q90">
        <v>0</v>
      </c>
      <c r="R90">
        <v>0</v>
      </c>
      <c r="S90">
        <v>0</v>
      </c>
      <c r="T90">
        <v>0</v>
      </c>
      <c r="U90">
        <v>0</v>
      </c>
      <c r="V90">
        <v>1</v>
      </c>
      <c r="W90">
        <v>92017</v>
      </c>
      <c r="X90">
        <v>8088</v>
      </c>
      <c r="Y90">
        <v>0</v>
      </c>
      <c r="Z90">
        <v>4271</v>
      </c>
      <c r="AA90">
        <v>1531230</v>
      </c>
      <c r="AB90">
        <v>0</v>
      </c>
    </row>
    <row r="91" spans="1:28" x14ac:dyDescent="0.35">
      <c r="A91" t="s">
        <v>720</v>
      </c>
      <c r="B91">
        <v>2023</v>
      </c>
      <c r="C91">
        <v>4365267</v>
      </c>
      <c r="D91">
        <v>117092</v>
      </c>
      <c r="E91">
        <v>81997</v>
      </c>
      <c r="F91">
        <v>0</v>
      </c>
      <c r="G91">
        <v>0</v>
      </c>
      <c r="H91">
        <v>0</v>
      </c>
      <c r="I91">
        <v>0</v>
      </c>
      <c r="J91" t="s">
        <v>420</v>
      </c>
      <c r="K91">
        <v>0</v>
      </c>
      <c r="L91">
        <v>349544</v>
      </c>
      <c r="M91">
        <v>0</v>
      </c>
      <c r="N91">
        <v>2558999</v>
      </c>
      <c r="O91">
        <v>0</v>
      </c>
      <c r="P91">
        <v>68452</v>
      </c>
      <c r="Q91">
        <v>48640</v>
      </c>
      <c r="R91">
        <v>0</v>
      </c>
      <c r="S91">
        <v>0</v>
      </c>
      <c r="T91">
        <v>0</v>
      </c>
      <c r="U91">
        <v>0</v>
      </c>
      <c r="V91">
        <v>1</v>
      </c>
      <c r="W91">
        <v>287386</v>
      </c>
      <c r="X91">
        <v>29854</v>
      </c>
      <c r="Y91">
        <v>7394</v>
      </c>
      <c r="Z91">
        <v>5121</v>
      </c>
      <c r="AA91">
        <v>2915554</v>
      </c>
      <c r="AB91">
        <v>61573</v>
      </c>
    </row>
    <row r="92" spans="1:28" x14ac:dyDescent="0.35">
      <c r="A92" t="s">
        <v>738</v>
      </c>
      <c r="B92">
        <v>2023</v>
      </c>
      <c r="C92" t="s">
        <v>420</v>
      </c>
      <c r="D92">
        <v>0</v>
      </c>
      <c r="E92">
        <v>0</v>
      </c>
      <c r="F92">
        <v>0</v>
      </c>
      <c r="G92" t="s">
        <v>420</v>
      </c>
      <c r="H92" t="s">
        <v>420</v>
      </c>
      <c r="I92" t="s">
        <v>420</v>
      </c>
      <c r="J92" t="s">
        <v>420</v>
      </c>
      <c r="K92">
        <v>0</v>
      </c>
      <c r="L92" t="s">
        <v>420</v>
      </c>
      <c r="M92" t="s">
        <v>420</v>
      </c>
      <c r="N92" t="s">
        <v>420</v>
      </c>
      <c r="O92" t="s">
        <v>420</v>
      </c>
      <c r="P92" t="s">
        <v>420</v>
      </c>
      <c r="Q92" t="s">
        <v>420</v>
      </c>
      <c r="R92" t="s">
        <v>420</v>
      </c>
      <c r="S92" t="s">
        <v>420</v>
      </c>
      <c r="T92" t="s">
        <v>420</v>
      </c>
      <c r="U92" t="s">
        <v>420</v>
      </c>
      <c r="V92">
        <v>1</v>
      </c>
      <c r="W92">
        <v>0</v>
      </c>
      <c r="X92">
        <v>0</v>
      </c>
      <c r="Y92" t="s">
        <v>420</v>
      </c>
      <c r="Z92" t="s">
        <v>420</v>
      </c>
      <c r="AA92">
        <v>0</v>
      </c>
      <c r="AB92" t="s">
        <v>420</v>
      </c>
    </row>
    <row r="93" spans="1:28" x14ac:dyDescent="0.35">
      <c r="A93" t="s">
        <v>580</v>
      </c>
      <c r="B93">
        <v>2023</v>
      </c>
      <c r="C93">
        <v>3593222</v>
      </c>
      <c r="D93">
        <v>272332</v>
      </c>
      <c r="E93">
        <v>1876389</v>
      </c>
      <c r="F93">
        <v>0</v>
      </c>
      <c r="G93">
        <v>0</v>
      </c>
      <c r="H93">
        <v>0</v>
      </c>
      <c r="I93">
        <v>0</v>
      </c>
      <c r="J93">
        <v>0</v>
      </c>
      <c r="K93">
        <v>0</v>
      </c>
      <c r="L93">
        <v>0</v>
      </c>
      <c r="M93">
        <v>0</v>
      </c>
      <c r="N93">
        <v>2224681</v>
      </c>
      <c r="O93">
        <v>0</v>
      </c>
      <c r="P93">
        <v>151718</v>
      </c>
      <c r="Q93">
        <v>120614</v>
      </c>
      <c r="R93">
        <v>0</v>
      </c>
      <c r="S93">
        <v>0</v>
      </c>
      <c r="T93">
        <v>0</v>
      </c>
      <c r="U93">
        <v>0</v>
      </c>
      <c r="V93">
        <v>1</v>
      </c>
      <c r="W93">
        <v>456451</v>
      </c>
      <c r="X93">
        <v>28268</v>
      </c>
      <c r="Y93">
        <v>3312</v>
      </c>
      <c r="Z93">
        <v>4987</v>
      </c>
      <c r="AA93">
        <v>5427993</v>
      </c>
      <c r="AB93">
        <v>728062</v>
      </c>
    </row>
    <row r="94" spans="1:28" x14ac:dyDescent="0.35">
      <c r="A94" t="s">
        <v>725</v>
      </c>
      <c r="B94">
        <v>2023</v>
      </c>
      <c r="C94">
        <v>3020950</v>
      </c>
      <c r="D94">
        <v>64622</v>
      </c>
      <c r="E94">
        <v>0</v>
      </c>
      <c r="F94">
        <v>0</v>
      </c>
      <c r="G94">
        <v>0</v>
      </c>
      <c r="H94">
        <v>0</v>
      </c>
      <c r="I94">
        <v>0</v>
      </c>
      <c r="J94">
        <v>0</v>
      </c>
      <c r="K94">
        <v>0</v>
      </c>
      <c r="L94">
        <v>0</v>
      </c>
      <c r="M94">
        <v>0</v>
      </c>
      <c r="N94">
        <v>2559302</v>
      </c>
      <c r="O94">
        <v>64211</v>
      </c>
      <c r="P94">
        <v>411</v>
      </c>
      <c r="Q94">
        <v>0</v>
      </c>
      <c r="R94">
        <v>0</v>
      </c>
      <c r="S94">
        <v>0</v>
      </c>
      <c r="T94">
        <v>0</v>
      </c>
      <c r="U94">
        <v>0</v>
      </c>
      <c r="V94">
        <v>1</v>
      </c>
      <c r="W94">
        <v>244503</v>
      </c>
      <c r="X94">
        <v>36346</v>
      </c>
      <c r="Y94">
        <v>1604</v>
      </c>
      <c r="Z94">
        <v>5282</v>
      </c>
      <c r="AA94">
        <v>3675185</v>
      </c>
      <c r="AB94">
        <v>0</v>
      </c>
    </row>
    <row r="95" spans="1:28" x14ac:dyDescent="0.35">
      <c r="A95" t="s">
        <v>683</v>
      </c>
      <c r="B95">
        <v>2023</v>
      </c>
      <c r="C95">
        <v>1575001</v>
      </c>
      <c r="D95">
        <v>180028</v>
      </c>
      <c r="E95">
        <v>0</v>
      </c>
      <c r="F95">
        <v>0</v>
      </c>
      <c r="G95">
        <v>0</v>
      </c>
      <c r="H95">
        <v>0</v>
      </c>
      <c r="I95">
        <v>0</v>
      </c>
      <c r="J95" t="s">
        <v>420</v>
      </c>
      <c r="K95">
        <v>365374</v>
      </c>
      <c r="L95">
        <v>0</v>
      </c>
      <c r="M95">
        <v>0</v>
      </c>
      <c r="N95">
        <v>2173886</v>
      </c>
      <c r="O95">
        <v>180028</v>
      </c>
      <c r="P95">
        <v>0</v>
      </c>
      <c r="Q95">
        <v>0</v>
      </c>
      <c r="R95">
        <v>0</v>
      </c>
      <c r="S95">
        <v>0</v>
      </c>
      <c r="T95">
        <v>1744000</v>
      </c>
      <c r="U95">
        <v>0</v>
      </c>
      <c r="V95">
        <v>2</v>
      </c>
      <c r="W95">
        <v>241207</v>
      </c>
      <c r="X95">
        <v>48280</v>
      </c>
      <c r="Y95">
        <v>3981</v>
      </c>
      <c r="Z95">
        <v>1082</v>
      </c>
      <c r="AA95">
        <v>1977693</v>
      </c>
      <c r="AB95">
        <v>0</v>
      </c>
    </row>
    <row r="96" spans="1:28" x14ac:dyDescent="0.35">
      <c r="A96" t="s">
        <v>504</v>
      </c>
      <c r="B96">
        <v>2023</v>
      </c>
      <c r="C96">
        <v>11423381</v>
      </c>
      <c r="D96">
        <v>441009</v>
      </c>
      <c r="E96">
        <v>9596200</v>
      </c>
      <c r="F96">
        <v>7433611</v>
      </c>
      <c r="G96">
        <v>7433611</v>
      </c>
      <c r="H96">
        <v>0</v>
      </c>
      <c r="I96">
        <v>0</v>
      </c>
      <c r="J96">
        <v>0</v>
      </c>
      <c r="K96">
        <v>226701</v>
      </c>
      <c r="L96">
        <v>6233333</v>
      </c>
      <c r="M96">
        <v>0</v>
      </c>
      <c r="N96">
        <v>10970044</v>
      </c>
      <c r="O96">
        <v>400089</v>
      </c>
      <c r="P96">
        <v>40920</v>
      </c>
      <c r="Q96">
        <v>0</v>
      </c>
      <c r="R96">
        <v>0</v>
      </c>
      <c r="S96">
        <v>0</v>
      </c>
      <c r="T96">
        <v>0</v>
      </c>
      <c r="U96">
        <v>38000000</v>
      </c>
      <c r="V96">
        <v>1</v>
      </c>
      <c r="W96">
        <v>1197006</v>
      </c>
      <c r="X96">
        <v>156278</v>
      </c>
      <c r="Y96">
        <v>29062</v>
      </c>
      <c r="Z96">
        <v>22286</v>
      </c>
      <c r="AA96">
        <v>16004491</v>
      </c>
      <c r="AB96">
        <v>4115414</v>
      </c>
    </row>
    <row r="97" spans="1:28" x14ac:dyDescent="0.35">
      <c r="A97" t="s">
        <v>744</v>
      </c>
      <c r="B97">
        <v>2023</v>
      </c>
      <c r="C97">
        <v>4006075</v>
      </c>
      <c r="D97">
        <v>10230</v>
      </c>
      <c r="E97">
        <v>4103402</v>
      </c>
      <c r="F97">
        <v>0</v>
      </c>
      <c r="G97">
        <v>0</v>
      </c>
      <c r="H97">
        <v>0</v>
      </c>
      <c r="I97">
        <v>0</v>
      </c>
      <c r="J97">
        <v>0</v>
      </c>
      <c r="K97">
        <v>37638</v>
      </c>
      <c r="L97">
        <v>2262500</v>
      </c>
      <c r="M97">
        <v>0</v>
      </c>
      <c r="N97">
        <v>4382717</v>
      </c>
      <c r="O97">
        <v>0</v>
      </c>
      <c r="P97">
        <v>10230</v>
      </c>
      <c r="Q97">
        <v>0</v>
      </c>
      <c r="R97">
        <v>0</v>
      </c>
      <c r="S97">
        <v>0</v>
      </c>
      <c r="T97">
        <v>0</v>
      </c>
      <c r="U97">
        <v>0</v>
      </c>
      <c r="V97">
        <v>1</v>
      </c>
      <c r="W97">
        <v>431896</v>
      </c>
      <c r="X97">
        <v>81732</v>
      </c>
      <c r="Y97">
        <v>10924</v>
      </c>
      <c r="Z97">
        <v>14385</v>
      </c>
      <c r="AA97">
        <v>5325091</v>
      </c>
      <c r="AB97">
        <v>1755240</v>
      </c>
    </row>
    <row r="98" spans="1:28" x14ac:dyDescent="0.35">
      <c r="A98" t="s">
        <v>543</v>
      </c>
      <c r="B98">
        <v>2023</v>
      </c>
      <c r="C98">
        <v>2018396</v>
      </c>
      <c r="D98">
        <v>80461</v>
      </c>
      <c r="E98">
        <v>53153</v>
      </c>
      <c r="F98">
        <v>0</v>
      </c>
      <c r="G98">
        <v>0</v>
      </c>
      <c r="H98">
        <v>0</v>
      </c>
      <c r="I98">
        <v>0</v>
      </c>
      <c r="J98">
        <v>0</v>
      </c>
      <c r="K98">
        <v>307671</v>
      </c>
      <c r="L98">
        <v>50000</v>
      </c>
      <c r="M98">
        <v>41170</v>
      </c>
      <c r="N98">
        <v>2051023</v>
      </c>
      <c r="O98">
        <v>80461</v>
      </c>
      <c r="P98">
        <v>0</v>
      </c>
      <c r="Q98">
        <v>0</v>
      </c>
      <c r="R98">
        <v>0</v>
      </c>
      <c r="S98">
        <v>0</v>
      </c>
      <c r="T98" t="s">
        <v>420</v>
      </c>
      <c r="U98" t="s">
        <v>420</v>
      </c>
      <c r="V98">
        <v>1</v>
      </c>
      <c r="W98">
        <v>315594</v>
      </c>
      <c r="X98">
        <v>26037</v>
      </c>
      <c r="Y98">
        <v>4060</v>
      </c>
      <c r="Z98">
        <v>7396</v>
      </c>
      <c r="AA98">
        <v>4100165</v>
      </c>
      <c r="AB98">
        <v>0</v>
      </c>
    </row>
    <row r="99" spans="1:28" x14ac:dyDescent="0.35">
      <c r="A99" t="s">
        <v>730</v>
      </c>
      <c r="B99">
        <v>2023</v>
      </c>
      <c r="C99">
        <v>5510791</v>
      </c>
      <c r="D99">
        <v>29200</v>
      </c>
      <c r="E99">
        <v>3632800</v>
      </c>
      <c r="F99">
        <v>2356200</v>
      </c>
      <c r="G99">
        <v>2356200</v>
      </c>
      <c r="H99">
        <v>0</v>
      </c>
      <c r="I99">
        <v>0</v>
      </c>
      <c r="J99">
        <v>0</v>
      </c>
      <c r="K99">
        <v>292481</v>
      </c>
      <c r="L99">
        <v>2694600</v>
      </c>
      <c r="M99">
        <v>0</v>
      </c>
      <c r="N99">
        <v>5285149</v>
      </c>
      <c r="O99">
        <v>29200</v>
      </c>
      <c r="P99">
        <v>0</v>
      </c>
      <c r="Q99">
        <v>0</v>
      </c>
      <c r="R99">
        <v>0</v>
      </c>
      <c r="S99">
        <v>0</v>
      </c>
      <c r="T99">
        <v>0</v>
      </c>
      <c r="U99">
        <v>0</v>
      </c>
      <c r="V99">
        <v>1</v>
      </c>
      <c r="W99">
        <v>593984</v>
      </c>
      <c r="X99">
        <v>89495</v>
      </c>
      <c r="Y99">
        <v>12096</v>
      </c>
      <c r="Z99">
        <v>17753</v>
      </c>
      <c r="AA99">
        <v>7427605</v>
      </c>
      <c r="AB99">
        <v>1529800</v>
      </c>
    </row>
    <row r="100" spans="1:28" x14ac:dyDescent="0.35">
      <c r="A100" t="s">
        <v>733</v>
      </c>
      <c r="B100">
        <v>2023</v>
      </c>
      <c r="C100">
        <v>3339270</v>
      </c>
      <c r="D100">
        <v>521494</v>
      </c>
      <c r="E100">
        <v>0</v>
      </c>
      <c r="F100">
        <v>0</v>
      </c>
      <c r="G100">
        <v>0</v>
      </c>
      <c r="H100">
        <v>0</v>
      </c>
      <c r="I100">
        <v>0</v>
      </c>
      <c r="J100">
        <v>0</v>
      </c>
      <c r="K100">
        <v>0</v>
      </c>
      <c r="L100">
        <v>0</v>
      </c>
      <c r="M100">
        <v>896074</v>
      </c>
      <c r="N100">
        <v>3634770</v>
      </c>
      <c r="O100">
        <v>521494</v>
      </c>
      <c r="P100">
        <v>0</v>
      </c>
      <c r="Q100">
        <v>0</v>
      </c>
      <c r="R100">
        <v>0</v>
      </c>
      <c r="S100">
        <v>0</v>
      </c>
      <c r="T100" t="s">
        <v>420</v>
      </c>
      <c r="U100" t="s">
        <v>420</v>
      </c>
      <c r="V100">
        <v>1</v>
      </c>
      <c r="W100">
        <v>368332</v>
      </c>
      <c r="X100">
        <v>25606</v>
      </c>
      <c r="Y100">
        <v>3172</v>
      </c>
      <c r="Z100">
        <v>17446</v>
      </c>
      <c r="AA100">
        <v>5915532</v>
      </c>
      <c r="AB100">
        <v>0</v>
      </c>
    </row>
    <row r="101" spans="1:28" x14ac:dyDescent="0.35">
      <c r="A101" t="s">
        <v>638</v>
      </c>
      <c r="B101">
        <v>2023</v>
      </c>
      <c r="C101">
        <v>3561292</v>
      </c>
      <c r="D101">
        <v>0</v>
      </c>
      <c r="E101">
        <v>228963</v>
      </c>
      <c r="F101">
        <v>0</v>
      </c>
      <c r="G101">
        <v>0</v>
      </c>
      <c r="H101">
        <v>0</v>
      </c>
      <c r="I101">
        <v>0</v>
      </c>
      <c r="J101">
        <v>0</v>
      </c>
      <c r="K101">
        <v>4784</v>
      </c>
      <c r="L101">
        <v>1525000</v>
      </c>
      <c r="M101">
        <v>0</v>
      </c>
      <c r="N101">
        <v>2067828</v>
      </c>
      <c r="O101">
        <v>0</v>
      </c>
      <c r="P101">
        <v>0</v>
      </c>
      <c r="Q101">
        <v>0</v>
      </c>
      <c r="R101">
        <v>0</v>
      </c>
      <c r="S101">
        <v>0</v>
      </c>
      <c r="T101">
        <v>0</v>
      </c>
      <c r="U101">
        <v>0</v>
      </c>
      <c r="V101">
        <v>1</v>
      </c>
      <c r="W101">
        <v>453148</v>
      </c>
      <c r="X101">
        <v>42490</v>
      </c>
      <c r="Y101">
        <v>1661</v>
      </c>
      <c r="Z101">
        <v>7454</v>
      </c>
      <c r="AA101">
        <v>4941415</v>
      </c>
      <c r="AB101">
        <v>320235</v>
      </c>
    </row>
    <row r="102" spans="1:28" x14ac:dyDescent="0.35">
      <c r="A102" t="s">
        <v>713</v>
      </c>
      <c r="B102">
        <v>2023</v>
      </c>
      <c r="C102">
        <v>2471268</v>
      </c>
      <c r="D102">
        <v>0</v>
      </c>
      <c r="E102">
        <v>29853</v>
      </c>
      <c r="F102">
        <v>754000</v>
      </c>
      <c r="G102" t="s">
        <v>420</v>
      </c>
      <c r="H102" t="s">
        <v>420</v>
      </c>
      <c r="I102" t="s">
        <v>420</v>
      </c>
      <c r="J102" t="s">
        <v>420</v>
      </c>
      <c r="K102" t="s">
        <v>420</v>
      </c>
      <c r="L102">
        <v>125000</v>
      </c>
      <c r="M102">
        <v>0</v>
      </c>
      <c r="N102">
        <v>1807246</v>
      </c>
      <c r="O102" t="s">
        <v>420</v>
      </c>
      <c r="P102" t="s">
        <v>420</v>
      </c>
      <c r="Q102" t="s">
        <v>420</v>
      </c>
      <c r="R102" t="s">
        <v>420</v>
      </c>
      <c r="S102" t="s">
        <v>420</v>
      </c>
      <c r="T102" t="s">
        <v>420</v>
      </c>
      <c r="U102" t="s">
        <v>420</v>
      </c>
      <c r="V102">
        <v>2</v>
      </c>
      <c r="W102">
        <v>238748</v>
      </c>
      <c r="X102">
        <v>25631</v>
      </c>
      <c r="Y102">
        <v>3085</v>
      </c>
      <c r="Z102">
        <v>3629</v>
      </c>
      <c r="AA102">
        <v>3575106</v>
      </c>
      <c r="AB102" t="s">
        <v>420</v>
      </c>
    </row>
    <row r="103" spans="1:28" x14ac:dyDescent="0.35">
      <c r="A103" t="s">
        <v>523</v>
      </c>
      <c r="B103">
        <v>2023</v>
      </c>
      <c r="C103">
        <v>427690</v>
      </c>
      <c r="D103">
        <v>12831</v>
      </c>
      <c r="E103">
        <v>0</v>
      </c>
      <c r="F103">
        <v>0</v>
      </c>
      <c r="G103" t="s">
        <v>420</v>
      </c>
      <c r="H103" t="s">
        <v>420</v>
      </c>
      <c r="I103" t="s">
        <v>420</v>
      </c>
      <c r="J103" t="s">
        <v>420</v>
      </c>
      <c r="K103" t="s">
        <v>420</v>
      </c>
      <c r="L103">
        <v>0</v>
      </c>
      <c r="M103">
        <v>0</v>
      </c>
      <c r="N103">
        <v>237308</v>
      </c>
      <c r="O103" t="s">
        <v>420</v>
      </c>
      <c r="P103" t="s">
        <v>420</v>
      </c>
      <c r="Q103" t="s">
        <v>420</v>
      </c>
      <c r="R103" t="s">
        <v>420</v>
      </c>
      <c r="S103" t="s">
        <v>420</v>
      </c>
      <c r="T103" t="s">
        <v>420</v>
      </c>
      <c r="U103" t="s">
        <v>420</v>
      </c>
      <c r="V103">
        <v>1</v>
      </c>
      <c r="W103">
        <v>46092</v>
      </c>
      <c r="X103">
        <v>2828</v>
      </c>
      <c r="Y103">
        <v>755</v>
      </c>
      <c r="Z103">
        <v>144</v>
      </c>
      <c r="AA103">
        <v>636093</v>
      </c>
      <c r="AB103" t="s">
        <v>420</v>
      </c>
    </row>
    <row r="104" spans="1:28" x14ac:dyDescent="0.35">
      <c r="A104" t="s">
        <v>745</v>
      </c>
      <c r="B104">
        <v>2023</v>
      </c>
      <c r="C104">
        <v>6812009</v>
      </c>
      <c r="D104">
        <v>78021</v>
      </c>
      <c r="E104">
        <v>2962798</v>
      </c>
      <c r="F104">
        <v>4249717</v>
      </c>
      <c r="G104">
        <v>3806700</v>
      </c>
      <c r="H104">
        <v>0</v>
      </c>
      <c r="I104">
        <v>0</v>
      </c>
      <c r="J104">
        <v>443017</v>
      </c>
      <c r="K104">
        <v>1420829</v>
      </c>
      <c r="L104">
        <v>6287403</v>
      </c>
      <c r="M104">
        <v>0</v>
      </c>
      <c r="N104">
        <v>11312675</v>
      </c>
      <c r="O104">
        <v>78021</v>
      </c>
      <c r="P104">
        <v>0</v>
      </c>
      <c r="Q104">
        <v>0</v>
      </c>
      <c r="R104">
        <v>0</v>
      </c>
      <c r="S104">
        <v>0</v>
      </c>
      <c r="T104">
        <v>0</v>
      </c>
      <c r="U104">
        <v>0</v>
      </c>
      <c r="V104">
        <v>1</v>
      </c>
      <c r="W104">
        <v>1014024</v>
      </c>
      <c r="X104">
        <v>171434</v>
      </c>
      <c r="Y104">
        <v>17732</v>
      </c>
      <c r="Z104">
        <v>20754</v>
      </c>
      <c r="AA104">
        <v>14095563</v>
      </c>
      <c r="AB104">
        <v>3028501</v>
      </c>
    </row>
    <row r="105" spans="1:28" x14ac:dyDescent="0.35">
      <c r="A105" t="s">
        <v>584</v>
      </c>
      <c r="B105">
        <v>2023</v>
      </c>
      <c r="C105">
        <v>7198089</v>
      </c>
      <c r="D105">
        <v>234435</v>
      </c>
      <c r="E105">
        <v>3166982</v>
      </c>
      <c r="F105">
        <v>4802443</v>
      </c>
      <c r="G105">
        <v>4802443</v>
      </c>
      <c r="H105" t="s">
        <v>420</v>
      </c>
      <c r="I105">
        <v>0</v>
      </c>
      <c r="J105">
        <v>0</v>
      </c>
      <c r="K105">
        <v>5329385</v>
      </c>
      <c r="L105">
        <v>6089660</v>
      </c>
      <c r="M105">
        <v>0</v>
      </c>
      <c r="N105">
        <v>16216962</v>
      </c>
      <c r="O105">
        <v>212892</v>
      </c>
      <c r="P105">
        <v>0</v>
      </c>
      <c r="Q105">
        <v>21543</v>
      </c>
      <c r="R105">
        <v>0</v>
      </c>
      <c r="S105">
        <v>0</v>
      </c>
      <c r="T105" t="s">
        <v>420</v>
      </c>
      <c r="U105" t="s">
        <v>420</v>
      </c>
      <c r="V105">
        <v>1</v>
      </c>
      <c r="W105">
        <v>1705164</v>
      </c>
      <c r="X105">
        <v>218206</v>
      </c>
      <c r="Y105">
        <v>3995</v>
      </c>
      <c r="Z105">
        <v>9798</v>
      </c>
      <c r="AA105">
        <v>17729604</v>
      </c>
      <c r="AB105">
        <v>4308088</v>
      </c>
    </row>
  </sheetData>
  <sheetProtection algorithmName="SHA-512" hashValue="KP8gLEnearG0ikTGwj5vr2NuUGwkeVnAaqEMxH6km3DlO7NGQiY2Hj8I1E9cagw2s13VxX+cK8sTfZoYl/OZRg==" saltValue="tnvD03DwAhgh8xoSIDLPPQ==" spinCount="100000" sheet="1" objects="1" scenarios="1"/>
  <sortState xmlns:xlrd2="http://schemas.microsoft.com/office/spreadsheetml/2017/richdata2" ref="A6:A105">
    <sortCondition ref="A6:A105"/>
  </sortState>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19630E-FC35-4A96-8A77-FF3FF869FEDC}">
  <sheetPr codeName="Sheet15">
    <tabColor theme="0" tint="-0.499984740745262"/>
  </sheetPr>
  <dimension ref="A1:W243"/>
  <sheetViews>
    <sheetView topLeftCell="A176" workbookViewId="0">
      <selection activeCell="M202" sqref="M202"/>
    </sheetView>
  </sheetViews>
  <sheetFormatPr defaultRowHeight="14.5" x14ac:dyDescent="0.35"/>
  <sheetData>
    <row r="1" spans="1:23" x14ac:dyDescent="0.35">
      <c r="A1" t="s">
        <v>794</v>
      </c>
      <c r="D1" t="s">
        <v>795</v>
      </c>
      <c r="E1">
        <v>2023</v>
      </c>
      <c r="F1">
        <v>2023</v>
      </c>
      <c r="G1">
        <v>2023</v>
      </c>
      <c r="H1">
        <v>2023</v>
      </c>
      <c r="I1">
        <v>2023</v>
      </c>
      <c r="J1">
        <v>2023</v>
      </c>
      <c r="K1">
        <v>2023</v>
      </c>
      <c r="L1">
        <v>2023</v>
      </c>
      <c r="M1">
        <v>2023</v>
      </c>
      <c r="N1">
        <v>2023</v>
      </c>
      <c r="O1">
        <v>2023</v>
      </c>
      <c r="P1">
        <v>2023</v>
      </c>
      <c r="Q1">
        <v>2023</v>
      </c>
      <c r="R1">
        <v>2023</v>
      </c>
      <c r="S1">
        <v>2023</v>
      </c>
      <c r="T1">
        <v>2023</v>
      </c>
      <c r="U1">
        <v>2023</v>
      </c>
      <c r="V1">
        <v>2023</v>
      </c>
    </row>
    <row r="2" spans="1:23" x14ac:dyDescent="0.35">
      <c r="D2" t="s">
        <v>796</v>
      </c>
      <c r="E2" t="s">
        <v>797</v>
      </c>
      <c r="F2" t="s">
        <v>798</v>
      </c>
      <c r="G2" t="s">
        <v>798</v>
      </c>
      <c r="H2" t="s">
        <v>798</v>
      </c>
      <c r="I2" t="s">
        <v>798</v>
      </c>
      <c r="J2" t="s">
        <v>798</v>
      </c>
      <c r="K2" t="s">
        <v>798</v>
      </c>
      <c r="L2" t="s">
        <v>798</v>
      </c>
      <c r="M2" t="s">
        <v>798</v>
      </c>
      <c r="N2" t="s">
        <v>798</v>
      </c>
      <c r="O2" t="s">
        <v>798</v>
      </c>
      <c r="P2" t="s">
        <v>798</v>
      </c>
      <c r="Q2" t="s">
        <v>798</v>
      </c>
      <c r="R2" t="s">
        <v>798</v>
      </c>
      <c r="S2" t="s">
        <v>798</v>
      </c>
      <c r="T2" t="s">
        <v>798</v>
      </c>
      <c r="U2" t="s">
        <v>799</v>
      </c>
      <c r="V2" t="s">
        <v>800</v>
      </c>
    </row>
    <row r="3" spans="1:23" x14ac:dyDescent="0.35">
      <c r="D3" t="s">
        <v>801</v>
      </c>
      <c r="E3" t="s">
        <v>802</v>
      </c>
      <c r="F3" t="s">
        <v>803</v>
      </c>
      <c r="G3" t="s">
        <v>803</v>
      </c>
      <c r="H3" t="s">
        <v>803</v>
      </c>
      <c r="I3" t="s">
        <v>803</v>
      </c>
      <c r="J3" t="s">
        <v>803</v>
      </c>
      <c r="K3" t="s">
        <v>803</v>
      </c>
      <c r="L3" t="s">
        <v>803</v>
      </c>
      <c r="M3" t="s">
        <v>803</v>
      </c>
      <c r="N3" t="s">
        <v>803</v>
      </c>
      <c r="O3" t="s">
        <v>803</v>
      </c>
      <c r="P3" t="s">
        <v>803</v>
      </c>
      <c r="Q3" t="s">
        <v>803</v>
      </c>
      <c r="R3" t="s">
        <v>803</v>
      </c>
      <c r="S3" t="s">
        <v>803</v>
      </c>
      <c r="T3" t="s">
        <v>803</v>
      </c>
      <c r="U3" t="s">
        <v>803</v>
      </c>
      <c r="V3" t="s">
        <v>803</v>
      </c>
    </row>
    <row r="4" spans="1:23" x14ac:dyDescent="0.35">
      <c r="D4" t="s">
        <v>804</v>
      </c>
      <c r="E4" t="s">
        <v>413</v>
      </c>
      <c r="F4" t="s">
        <v>403</v>
      </c>
      <c r="G4" t="s">
        <v>403</v>
      </c>
      <c r="H4" t="s">
        <v>405</v>
      </c>
      <c r="I4" t="s">
        <v>1368</v>
      </c>
      <c r="J4" t="s">
        <v>805</v>
      </c>
      <c r="K4" t="s">
        <v>404</v>
      </c>
      <c r="L4" t="s">
        <v>408</v>
      </c>
      <c r="M4" t="s">
        <v>409</v>
      </c>
      <c r="N4" t="s">
        <v>410</v>
      </c>
      <c r="O4" t="s">
        <v>406</v>
      </c>
      <c r="P4" t="s">
        <v>411</v>
      </c>
      <c r="Q4" t="s">
        <v>412</v>
      </c>
      <c r="R4" t="s">
        <v>1369</v>
      </c>
      <c r="S4" t="s">
        <v>414</v>
      </c>
      <c r="T4" t="s">
        <v>415</v>
      </c>
      <c r="U4" t="s">
        <v>407</v>
      </c>
      <c r="V4" t="s">
        <v>416</v>
      </c>
    </row>
    <row r="5" spans="1:23" x14ac:dyDescent="0.35">
      <c r="D5" t="s">
        <v>806</v>
      </c>
      <c r="E5" t="s">
        <v>395</v>
      </c>
      <c r="F5" t="s">
        <v>388</v>
      </c>
      <c r="G5" t="s">
        <v>388</v>
      </c>
      <c r="H5" t="s">
        <v>220</v>
      </c>
      <c r="I5" t="s">
        <v>1290</v>
      </c>
      <c r="J5" t="s">
        <v>389</v>
      </c>
      <c r="K5" t="s">
        <v>389</v>
      </c>
      <c r="L5" t="s">
        <v>40</v>
      </c>
      <c r="M5" t="s">
        <v>44</v>
      </c>
      <c r="N5" t="s">
        <v>47</v>
      </c>
      <c r="O5" t="s">
        <v>807</v>
      </c>
      <c r="P5" t="s">
        <v>52</v>
      </c>
      <c r="Q5" t="s">
        <v>394</v>
      </c>
      <c r="R5" t="s">
        <v>1289</v>
      </c>
      <c r="S5" t="s">
        <v>396</v>
      </c>
      <c r="T5" t="s">
        <v>397</v>
      </c>
      <c r="U5" t="s">
        <v>392</v>
      </c>
      <c r="V5" t="s">
        <v>398</v>
      </c>
    </row>
    <row r="6" spans="1:23" x14ac:dyDescent="0.35">
      <c r="D6" t="s">
        <v>808</v>
      </c>
    </row>
    <row r="7" spans="1:23" x14ac:dyDescent="0.35">
      <c r="D7" t="s">
        <v>236</v>
      </c>
      <c r="E7" t="s">
        <v>399</v>
      </c>
      <c r="F7" t="s">
        <v>266</v>
      </c>
      <c r="G7" t="s">
        <v>266</v>
      </c>
      <c r="H7" t="s">
        <v>266</v>
      </c>
      <c r="I7" t="s">
        <v>266</v>
      </c>
      <c r="J7" t="s">
        <v>266</v>
      </c>
      <c r="K7" t="s">
        <v>266</v>
      </c>
      <c r="L7" t="s">
        <v>266</v>
      </c>
      <c r="M7" t="s">
        <v>266</v>
      </c>
      <c r="N7" t="s">
        <v>266</v>
      </c>
      <c r="O7" t="s">
        <v>266</v>
      </c>
      <c r="P7" t="s">
        <v>266</v>
      </c>
      <c r="Q7" t="s">
        <v>266</v>
      </c>
      <c r="R7" t="s">
        <v>266</v>
      </c>
      <c r="S7" t="s">
        <v>266</v>
      </c>
      <c r="T7" t="s">
        <v>266</v>
      </c>
      <c r="U7" t="s">
        <v>399</v>
      </c>
      <c r="V7" t="s">
        <v>809</v>
      </c>
    </row>
    <row r="8" spans="1:23" x14ac:dyDescent="0.35">
      <c r="D8" t="s">
        <v>810</v>
      </c>
      <c r="E8" t="s">
        <v>811</v>
      </c>
      <c r="F8" t="s">
        <v>812</v>
      </c>
      <c r="G8" t="s">
        <v>812</v>
      </c>
      <c r="H8" t="s">
        <v>813</v>
      </c>
      <c r="I8" t="s">
        <v>1370</v>
      </c>
      <c r="J8" t="s">
        <v>814</v>
      </c>
      <c r="K8" t="s">
        <v>815</v>
      </c>
      <c r="L8" t="s">
        <v>816</v>
      </c>
      <c r="M8" t="s">
        <v>817</v>
      </c>
      <c r="N8" t="s">
        <v>818</v>
      </c>
      <c r="O8" t="s">
        <v>819</v>
      </c>
      <c r="P8" t="s">
        <v>820</v>
      </c>
      <c r="Q8" t="s">
        <v>821</v>
      </c>
      <c r="R8" t="s">
        <v>1371</v>
      </c>
      <c r="S8" t="s">
        <v>822</v>
      </c>
      <c r="T8" t="s">
        <v>823</v>
      </c>
      <c r="U8" t="s">
        <v>824</v>
      </c>
      <c r="V8" t="s">
        <v>825</v>
      </c>
    </row>
    <row r="9" spans="1:23" x14ac:dyDescent="0.35">
      <c r="D9" t="s">
        <v>826</v>
      </c>
      <c r="E9" t="s">
        <v>827</v>
      </c>
      <c r="K9" t="s">
        <v>828</v>
      </c>
    </row>
    <row r="10" spans="1:23" x14ac:dyDescent="0.35">
      <c r="A10">
        <v>2000</v>
      </c>
      <c r="B10" t="s">
        <v>417</v>
      </c>
      <c r="C10" t="s">
        <v>830</v>
      </c>
      <c r="D10" t="s">
        <v>829</v>
      </c>
      <c r="E10" s="5">
        <v>2514557</v>
      </c>
      <c r="F10" s="5">
        <v>1872568</v>
      </c>
      <c r="G10" s="5">
        <v>1872568</v>
      </c>
      <c r="H10">
        <v>0</v>
      </c>
      <c r="I10">
        <v>0</v>
      </c>
      <c r="K10" s="5">
        <v>82160</v>
      </c>
      <c r="L10" s="5">
        <v>82160</v>
      </c>
      <c r="M10">
        <v>0</v>
      </c>
      <c r="N10">
        <v>0</v>
      </c>
      <c r="O10">
        <v>0</v>
      </c>
      <c r="P10">
        <v>0</v>
      </c>
      <c r="Q10">
        <v>0</v>
      </c>
      <c r="R10">
        <v>0</v>
      </c>
      <c r="S10">
        <v>0</v>
      </c>
      <c r="T10">
        <v>0</v>
      </c>
      <c r="U10" s="5">
        <v>4808089</v>
      </c>
      <c r="V10">
        <v>2</v>
      </c>
    </row>
    <row r="11" spans="1:23" x14ac:dyDescent="0.35">
      <c r="A11">
        <v>2300</v>
      </c>
      <c r="B11" t="s">
        <v>419</v>
      </c>
      <c r="C11" t="s">
        <v>831</v>
      </c>
      <c r="D11" t="s">
        <v>829</v>
      </c>
      <c r="E11" s="5">
        <v>53256201</v>
      </c>
      <c r="F11" s="5">
        <v>15803006</v>
      </c>
      <c r="G11" s="5">
        <v>15803006</v>
      </c>
      <c r="H11" s="5">
        <v>182335</v>
      </c>
      <c r="I11" s="5">
        <v>490695</v>
      </c>
      <c r="K11" s="5">
        <v>29213</v>
      </c>
      <c r="L11" s="5">
        <v>29213</v>
      </c>
      <c r="M11">
        <v>0</v>
      </c>
      <c r="N11">
        <v>0</v>
      </c>
      <c r="O11">
        <v>0</v>
      </c>
      <c r="P11">
        <v>0</v>
      </c>
      <c r="Q11">
        <v>0</v>
      </c>
      <c r="R11">
        <v>0</v>
      </c>
      <c r="U11" s="5">
        <v>51013887</v>
      </c>
      <c r="V11">
        <v>2</v>
      </c>
    </row>
    <row r="12" spans="1:23" x14ac:dyDescent="0.35">
      <c r="A12">
        <v>2600</v>
      </c>
      <c r="B12" t="s">
        <v>421</v>
      </c>
      <c r="C12" t="s">
        <v>832</v>
      </c>
      <c r="D12" t="s">
        <v>829</v>
      </c>
      <c r="E12" s="5">
        <v>1394001</v>
      </c>
      <c r="F12" s="5">
        <v>607082</v>
      </c>
      <c r="G12" s="5">
        <v>607082</v>
      </c>
      <c r="H12">
        <v>0</v>
      </c>
      <c r="I12">
        <v>0</v>
      </c>
      <c r="K12">
        <v>0</v>
      </c>
      <c r="U12" s="5">
        <v>1286637</v>
      </c>
      <c r="V12">
        <v>2</v>
      </c>
      <c r="W12" s="5"/>
    </row>
    <row r="13" spans="1:23" x14ac:dyDescent="0.35">
      <c r="A13">
        <v>2604</v>
      </c>
      <c r="B13" t="s">
        <v>422</v>
      </c>
      <c r="C13" t="s">
        <v>833</v>
      </c>
      <c r="D13" t="s">
        <v>829</v>
      </c>
      <c r="E13" s="5">
        <v>649251</v>
      </c>
      <c r="F13" s="5">
        <v>649393</v>
      </c>
      <c r="G13" s="5">
        <v>649393</v>
      </c>
      <c r="H13">
        <v>0</v>
      </c>
      <c r="I13">
        <v>0</v>
      </c>
      <c r="K13">
        <v>0</v>
      </c>
      <c r="O13">
        <v>0</v>
      </c>
      <c r="R13">
        <v>0</v>
      </c>
      <c r="U13" s="5">
        <v>1772635</v>
      </c>
      <c r="V13">
        <v>2</v>
      </c>
      <c r="W13" s="5"/>
    </row>
    <row r="14" spans="1:23" x14ac:dyDescent="0.35">
      <c r="A14">
        <v>2606</v>
      </c>
      <c r="B14" t="s">
        <v>423</v>
      </c>
      <c r="C14" t="s">
        <v>834</v>
      </c>
      <c r="D14" t="s">
        <v>829</v>
      </c>
      <c r="F14" s="5">
        <v>1072</v>
      </c>
      <c r="G14" s="5">
        <v>1072</v>
      </c>
      <c r="H14">
        <v>0</v>
      </c>
      <c r="I14">
        <v>0</v>
      </c>
      <c r="K14">
        <v>0</v>
      </c>
      <c r="L14">
        <v>0</v>
      </c>
      <c r="O14">
        <v>0</v>
      </c>
      <c r="R14">
        <v>0</v>
      </c>
      <c r="U14" s="5">
        <v>457118</v>
      </c>
      <c r="V14">
        <v>2</v>
      </c>
      <c r="W14" s="5"/>
    </row>
    <row r="15" spans="1:23" x14ac:dyDescent="0.35">
      <c r="A15">
        <v>2610</v>
      </c>
      <c r="B15" t="s">
        <v>424</v>
      </c>
      <c r="C15" t="s">
        <v>835</v>
      </c>
      <c r="D15" t="s">
        <v>829</v>
      </c>
      <c r="E15" s="5">
        <v>414315</v>
      </c>
      <c r="F15" s="5">
        <v>218022</v>
      </c>
      <c r="G15" s="5">
        <v>218022</v>
      </c>
      <c r="H15">
        <v>0</v>
      </c>
      <c r="I15">
        <v>0</v>
      </c>
      <c r="K15">
        <v>0</v>
      </c>
      <c r="O15">
        <v>0</v>
      </c>
      <c r="R15">
        <v>0</v>
      </c>
      <c r="U15" s="5">
        <v>1769047</v>
      </c>
      <c r="V15">
        <v>2</v>
      </c>
      <c r="W15" s="5"/>
    </row>
    <row r="16" spans="1:23" x14ac:dyDescent="0.35">
      <c r="A16">
        <v>2620</v>
      </c>
      <c r="B16" t="s">
        <v>425</v>
      </c>
      <c r="C16" t="s">
        <v>836</v>
      </c>
      <c r="D16" t="s">
        <v>829</v>
      </c>
      <c r="E16" s="5">
        <v>115125</v>
      </c>
      <c r="F16" s="5">
        <v>73327</v>
      </c>
      <c r="G16" s="5">
        <v>73327</v>
      </c>
      <c r="H16">
        <v>0</v>
      </c>
      <c r="I16">
        <v>0</v>
      </c>
      <c r="K16">
        <v>0</v>
      </c>
      <c r="O16">
        <v>0</v>
      </c>
      <c r="R16">
        <v>0</v>
      </c>
      <c r="U16" s="5">
        <v>1173168</v>
      </c>
      <c r="V16">
        <v>2</v>
      </c>
      <c r="W16" s="5"/>
    </row>
    <row r="17" spans="1:23" x14ac:dyDescent="0.35">
      <c r="A17">
        <v>2630</v>
      </c>
      <c r="B17" t="s">
        <v>426</v>
      </c>
      <c r="C17" t="s">
        <v>837</v>
      </c>
      <c r="D17" t="s">
        <v>829</v>
      </c>
      <c r="U17" s="5">
        <v>2297256</v>
      </c>
      <c r="V17">
        <v>2</v>
      </c>
      <c r="W17" s="5"/>
    </row>
    <row r="18" spans="1:23" x14ac:dyDescent="0.35">
      <c r="A18">
        <v>2634</v>
      </c>
      <c r="B18" t="s">
        <v>427</v>
      </c>
      <c r="C18" t="s">
        <v>838</v>
      </c>
      <c r="D18" t="s">
        <v>829</v>
      </c>
      <c r="E18" s="5">
        <v>613320</v>
      </c>
      <c r="F18" s="5">
        <v>371764</v>
      </c>
      <c r="G18" s="5">
        <v>371764</v>
      </c>
      <c r="H18">
        <v>0</v>
      </c>
      <c r="I18">
        <v>0</v>
      </c>
      <c r="K18">
        <v>0</v>
      </c>
      <c r="L18">
        <v>0</v>
      </c>
      <c r="M18">
        <v>0</v>
      </c>
      <c r="N18">
        <v>0</v>
      </c>
      <c r="O18">
        <v>0</v>
      </c>
      <c r="P18">
        <v>0</v>
      </c>
      <c r="Q18">
        <v>0</v>
      </c>
      <c r="R18">
        <v>0</v>
      </c>
      <c r="S18">
        <v>0</v>
      </c>
      <c r="T18">
        <v>0</v>
      </c>
      <c r="U18" s="5">
        <v>1045571</v>
      </c>
      <c r="V18">
        <v>2</v>
      </c>
      <c r="W18" s="5"/>
    </row>
    <row r="19" spans="1:23" x14ac:dyDescent="0.35">
      <c r="A19">
        <v>2652</v>
      </c>
      <c r="B19" t="s">
        <v>428</v>
      </c>
      <c r="C19" t="s">
        <v>839</v>
      </c>
      <c r="D19" t="s">
        <v>829</v>
      </c>
      <c r="E19">
        <v>0</v>
      </c>
      <c r="F19" s="5">
        <v>160012</v>
      </c>
      <c r="G19" s="5">
        <v>160012</v>
      </c>
      <c r="H19">
        <v>0</v>
      </c>
      <c r="I19">
        <v>0</v>
      </c>
      <c r="K19">
        <v>0</v>
      </c>
      <c r="O19">
        <v>0</v>
      </c>
      <c r="R19">
        <v>0</v>
      </c>
      <c r="U19" s="5">
        <v>2959174</v>
      </c>
      <c r="V19">
        <v>2</v>
      </c>
      <c r="W19" s="5"/>
    </row>
    <row r="20" spans="1:23" x14ac:dyDescent="0.35">
      <c r="A20">
        <v>2670</v>
      </c>
      <c r="B20" t="s">
        <v>429</v>
      </c>
      <c r="C20" t="s">
        <v>840</v>
      </c>
      <c r="D20" t="s">
        <v>829</v>
      </c>
      <c r="F20" s="5">
        <v>740763</v>
      </c>
      <c r="G20" s="5">
        <v>740763</v>
      </c>
      <c r="H20">
        <v>0</v>
      </c>
      <c r="I20">
        <v>0</v>
      </c>
      <c r="J20" s="5">
        <v>82111</v>
      </c>
      <c r="O20">
        <v>0</v>
      </c>
      <c r="R20">
        <v>0</v>
      </c>
      <c r="U20" s="5">
        <v>1830702</v>
      </c>
      <c r="V20">
        <v>2</v>
      </c>
      <c r="W20" s="5"/>
    </row>
    <row r="21" spans="1:23" x14ac:dyDescent="0.35">
      <c r="A21">
        <v>2680</v>
      </c>
      <c r="B21" t="s">
        <v>430</v>
      </c>
      <c r="C21" t="s">
        <v>841</v>
      </c>
      <c r="D21" t="s">
        <v>829</v>
      </c>
      <c r="F21" s="5">
        <v>639741</v>
      </c>
      <c r="G21" s="5">
        <v>639741</v>
      </c>
      <c r="H21">
        <v>0</v>
      </c>
      <c r="I21" s="5">
        <v>33150</v>
      </c>
      <c r="J21">
        <v>0</v>
      </c>
      <c r="O21">
        <v>0</v>
      </c>
      <c r="R21" s="5">
        <v>27800</v>
      </c>
      <c r="U21" s="5">
        <v>681889</v>
      </c>
      <c r="V21">
        <v>2</v>
      </c>
      <c r="W21" s="5"/>
    </row>
    <row r="22" spans="1:23" x14ac:dyDescent="0.35">
      <c r="A22">
        <v>2730</v>
      </c>
      <c r="B22" t="s">
        <v>431</v>
      </c>
      <c r="C22" t="s">
        <v>842</v>
      </c>
      <c r="D22" t="s">
        <v>829</v>
      </c>
      <c r="E22">
        <v>0</v>
      </c>
      <c r="F22" s="5">
        <v>163562</v>
      </c>
      <c r="G22" s="5">
        <v>163562</v>
      </c>
      <c r="H22">
        <v>0</v>
      </c>
      <c r="I22">
        <v>0</v>
      </c>
      <c r="K22">
        <v>0</v>
      </c>
      <c r="O22">
        <v>0</v>
      </c>
      <c r="R22">
        <v>0</v>
      </c>
      <c r="U22" s="5">
        <v>1439974</v>
      </c>
      <c r="V22">
        <v>2</v>
      </c>
      <c r="W22" s="5"/>
    </row>
    <row r="23" spans="1:23" x14ac:dyDescent="0.35">
      <c r="A23">
        <v>2750</v>
      </c>
      <c r="B23" t="s">
        <v>432</v>
      </c>
      <c r="C23" t="s">
        <v>843</v>
      </c>
      <c r="D23" t="s">
        <v>829</v>
      </c>
      <c r="E23" s="5">
        <v>1598328</v>
      </c>
      <c r="F23" s="5">
        <v>1025591</v>
      </c>
      <c r="G23" s="5">
        <v>1025591</v>
      </c>
      <c r="H23">
        <v>0</v>
      </c>
      <c r="I23">
        <v>0</v>
      </c>
      <c r="K23" s="5">
        <v>46085</v>
      </c>
      <c r="L23" s="5">
        <v>39672</v>
      </c>
      <c r="M23" s="5">
        <v>6413</v>
      </c>
      <c r="N23">
        <v>0</v>
      </c>
      <c r="O23">
        <v>0</v>
      </c>
      <c r="P23">
        <v>0</v>
      </c>
      <c r="Q23">
        <v>0</v>
      </c>
      <c r="R23">
        <v>0</v>
      </c>
      <c r="U23" s="5">
        <v>3018945</v>
      </c>
      <c r="V23">
        <v>2</v>
      </c>
      <c r="W23" s="5"/>
    </row>
    <row r="24" spans="1:23" x14ac:dyDescent="0.35">
      <c r="A24">
        <v>2770</v>
      </c>
      <c r="B24" t="s">
        <v>433</v>
      </c>
      <c r="C24" t="s">
        <v>844</v>
      </c>
      <c r="D24" t="s">
        <v>829</v>
      </c>
      <c r="E24" s="5">
        <v>664612</v>
      </c>
      <c r="F24" s="5">
        <v>387108</v>
      </c>
      <c r="G24" s="5">
        <v>387108</v>
      </c>
      <c r="H24">
        <v>0</v>
      </c>
      <c r="I24">
        <v>0</v>
      </c>
      <c r="K24">
        <v>0</v>
      </c>
      <c r="L24">
        <v>0</v>
      </c>
      <c r="M24">
        <v>0</v>
      </c>
      <c r="N24">
        <v>0</v>
      </c>
      <c r="O24">
        <v>0</v>
      </c>
      <c r="P24">
        <v>0</v>
      </c>
      <c r="Q24">
        <v>0</v>
      </c>
      <c r="R24">
        <v>0</v>
      </c>
      <c r="S24">
        <v>0</v>
      </c>
      <c r="T24">
        <v>0</v>
      </c>
      <c r="U24" s="5">
        <v>2210697</v>
      </c>
      <c r="V24">
        <v>2</v>
      </c>
      <c r="W24" s="5"/>
    </row>
    <row r="25" spans="1:23" x14ac:dyDescent="0.35">
      <c r="A25">
        <v>2790</v>
      </c>
      <c r="B25" t="s">
        <v>434</v>
      </c>
      <c r="C25" t="s">
        <v>845</v>
      </c>
      <c r="D25" t="s">
        <v>829</v>
      </c>
      <c r="E25">
        <v>0</v>
      </c>
      <c r="F25" s="5">
        <v>66352</v>
      </c>
      <c r="G25" s="5">
        <v>66352</v>
      </c>
      <c r="H25">
        <v>0</v>
      </c>
      <c r="I25">
        <v>0</v>
      </c>
      <c r="K25">
        <v>0</v>
      </c>
      <c r="O25">
        <v>0</v>
      </c>
      <c r="R25">
        <v>0</v>
      </c>
      <c r="U25" s="5">
        <v>609959</v>
      </c>
      <c r="V25">
        <v>2</v>
      </c>
      <c r="W25" s="5"/>
    </row>
    <row r="26" spans="1:23" x14ac:dyDescent="0.35">
      <c r="A26">
        <v>2800</v>
      </c>
      <c r="B26" t="s">
        <v>435</v>
      </c>
      <c r="C26" t="s">
        <v>846</v>
      </c>
      <c r="D26" t="s">
        <v>829</v>
      </c>
      <c r="E26" s="5">
        <v>1957672</v>
      </c>
      <c r="F26" s="5">
        <v>1030216</v>
      </c>
      <c r="G26" s="5">
        <v>1030216</v>
      </c>
      <c r="H26">
        <v>0</v>
      </c>
      <c r="I26">
        <v>0</v>
      </c>
      <c r="K26">
        <v>0</v>
      </c>
      <c r="L26">
        <v>0</v>
      </c>
      <c r="M26">
        <v>0</v>
      </c>
      <c r="N26">
        <v>0</v>
      </c>
      <c r="O26">
        <v>0</v>
      </c>
      <c r="P26">
        <v>0</v>
      </c>
      <c r="Q26">
        <v>0</v>
      </c>
      <c r="R26">
        <v>0</v>
      </c>
      <c r="U26" s="5">
        <v>2783724</v>
      </c>
      <c r="V26">
        <v>2</v>
      </c>
      <c r="W26" s="5"/>
    </row>
    <row r="27" spans="1:23" x14ac:dyDescent="0.35">
      <c r="A27">
        <v>2820</v>
      </c>
      <c r="B27" t="s">
        <v>436</v>
      </c>
      <c r="C27" t="s">
        <v>847</v>
      </c>
      <c r="D27" t="s">
        <v>829</v>
      </c>
      <c r="E27" s="5">
        <v>3261170</v>
      </c>
      <c r="F27" s="5">
        <v>2144025</v>
      </c>
      <c r="G27" s="5">
        <v>2144025</v>
      </c>
      <c r="H27">
        <v>0</v>
      </c>
      <c r="I27">
        <v>0</v>
      </c>
      <c r="K27" s="5">
        <v>51630</v>
      </c>
      <c r="L27" s="5">
        <v>51630</v>
      </c>
      <c r="M27">
        <v>0</v>
      </c>
      <c r="N27">
        <v>0</v>
      </c>
      <c r="O27">
        <v>0</v>
      </c>
      <c r="P27">
        <v>0</v>
      </c>
      <c r="Q27">
        <v>0</v>
      </c>
      <c r="R27">
        <v>0</v>
      </c>
      <c r="U27" s="5">
        <v>3422748</v>
      </c>
      <c r="V27">
        <v>2</v>
      </c>
      <c r="W27" s="5"/>
    </row>
    <row r="28" spans="1:23" x14ac:dyDescent="0.35">
      <c r="A28">
        <v>2822</v>
      </c>
      <c r="B28" t="s">
        <v>437</v>
      </c>
      <c r="C28" t="s">
        <v>848</v>
      </c>
      <c r="D28" t="s">
        <v>829</v>
      </c>
      <c r="E28" s="5">
        <v>1455275</v>
      </c>
      <c r="F28" s="5">
        <v>818905</v>
      </c>
      <c r="G28" s="5">
        <v>818905</v>
      </c>
      <c r="H28">
        <v>0</v>
      </c>
      <c r="I28">
        <v>0</v>
      </c>
      <c r="K28" s="5">
        <v>41032</v>
      </c>
      <c r="L28" s="5">
        <v>41032</v>
      </c>
      <c r="M28">
        <v>0</v>
      </c>
      <c r="N28">
        <v>0</v>
      </c>
      <c r="O28">
        <v>0</v>
      </c>
      <c r="P28">
        <v>0</v>
      </c>
      <c r="Q28">
        <v>0</v>
      </c>
      <c r="R28">
        <v>0</v>
      </c>
      <c r="U28" s="5">
        <v>3349912</v>
      </c>
      <c r="V28">
        <v>2</v>
      </c>
      <c r="W28" s="5"/>
    </row>
    <row r="29" spans="1:23" x14ac:dyDescent="0.35">
      <c r="A29">
        <v>2825</v>
      </c>
      <c r="B29" t="s">
        <v>438</v>
      </c>
      <c r="C29" t="s">
        <v>849</v>
      </c>
      <c r="D29" t="s">
        <v>829</v>
      </c>
      <c r="E29" s="5">
        <v>6371244</v>
      </c>
      <c r="F29" s="5">
        <v>2729057</v>
      </c>
      <c r="G29" s="5">
        <v>2729057</v>
      </c>
      <c r="H29">
        <v>0</v>
      </c>
      <c r="I29">
        <v>0</v>
      </c>
      <c r="K29" s="5">
        <v>67830</v>
      </c>
      <c r="L29" s="5">
        <v>31090</v>
      </c>
      <c r="M29" s="5">
        <v>36740</v>
      </c>
      <c r="N29">
        <v>0</v>
      </c>
      <c r="O29">
        <v>0</v>
      </c>
      <c r="P29">
        <v>0</v>
      </c>
      <c r="Q29">
        <v>0</v>
      </c>
      <c r="R29">
        <v>0</v>
      </c>
      <c r="U29" s="5">
        <v>5846233</v>
      </c>
      <c r="V29">
        <v>2</v>
      </c>
      <c r="W29" s="5"/>
    </row>
    <row r="30" spans="1:23" x14ac:dyDescent="0.35">
      <c r="A30">
        <v>2840</v>
      </c>
      <c r="B30" t="s">
        <v>439</v>
      </c>
      <c r="C30" t="s">
        <v>850</v>
      </c>
      <c r="D30" t="s">
        <v>829</v>
      </c>
      <c r="E30" s="5">
        <v>1707388</v>
      </c>
      <c r="F30" s="5">
        <v>941398</v>
      </c>
      <c r="G30" s="5">
        <v>941398</v>
      </c>
      <c r="H30">
        <v>0</v>
      </c>
      <c r="I30">
        <v>0</v>
      </c>
      <c r="K30" s="5">
        <v>41390</v>
      </c>
      <c r="L30" s="5">
        <v>41390</v>
      </c>
      <c r="M30">
        <v>0</v>
      </c>
      <c r="N30">
        <v>0</v>
      </c>
      <c r="O30">
        <v>0</v>
      </c>
      <c r="P30">
        <v>0</v>
      </c>
      <c r="Q30">
        <v>0</v>
      </c>
      <c r="R30">
        <v>0</v>
      </c>
      <c r="U30" s="5">
        <v>1503514</v>
      </c>
      <c r="V30">
        <v>2</v>
      </c>
      <c r="W30" s="5"/>
    </row>
    <row r="31" spans="1:23" x14ac:dyDescent="0.35">
      <c r="A31">
        <v>2970</v>
      </c>
      <c r="B31" t="s">
        <v>440</v>
      </c>
      <c r="C31" t="s">
        <v>851</v>
      </c>
      <c r="D31" t="s">
        <v>829</v>
      </c>
      <c r="F31" s="5">
        <v>29055</v>
      </c>
      <c r="G31" s="5">
        <v>29055</v>
      </c>
      <c r="H31">
        <v>0</v>
      </c>
      <c r="I31">
        <v>0</v>
      </c>
      <c r="K31" s="5">
        <v>12145</v>
      </c>
      <c r="L31" s="5">
        <v>12145</v>
      </c>
      <c r="M31">
        <v>0</v>
      </c>
      <c r="N31">
        <v>0</v>
      </c>
      <c r="O31">
        <v>0</v>
      </c>
      <c r="P31">
        <v>0</v>
      </c>
      <c r="Q31">
        <v>0</v>
      </c>
      <c r="R31">
        <v>0</v>
      </c>
      <c r="U31" s="5">
        <v>1225112</v>
      </c>
      <c r="V31">
        <v>2</v>
      </c>
      <c r="W31" s="5"/>
    </row>
    <row r="32" spans="1:23" x14ac:dyDescent="0.35">
      <c r="A32">
        <v>3000</v>
      </c>
      <c r="B32" t="s">
        <v>441</v>
      </c>
      <c r="C32" t="s">
        <v>852</v>
      </c>
      <c r="D32" t="s">
        <v>829</v>
      </c>
      <c r="E32" s="5">
        <v>3240404</v>
      </c>
      <c r="F32" s="5">
        <v>1304716</v>
      </c>
      <c r="G32" s="5">
        <v>1304716</v>
      </c>
      <c r="H32">
        <v>0</v>
      </c>
      <c r="I32" s="5">
        <v>6882</v>
      </c>
      <c r="K32" s="5">
        <v>52069</v>
      </c>
      <c r="L32" s="5">
        <v>52069</v>
      </c>
      <c r="M32">
        <v>0</v>
      </c>
      <c r="N32">
        <v>0</v>
      </c>
      <c r="O32">
        <v>0</v>
      </c>
      <c r="P32">
        <v>0</v>
      </c>
      <c r="Q32">
        <v>0</v>
      </c>
      <c r="R32" s="5">
        <v>5000</v>
      </c>
      <c r="S32">
        <v>0</v>
      </c>
      <c r="T32">
        <v>0</v>
      </c>
      <c r="U32" s="5">
        <v>2646607</v>
      </c>
      <c r="V32">
        <v>2</v>
      </c>
      <c r="W32" s="5"/>
    </row>
    <row r="33" spans="1:23" x14ac:dyDescent="0.35">
      <c r="A33">
        <v>3100</v>
      </c>
      <c r="B33" t="s">
        <v>442</v>
      </c>
      <c r="C33" t="s">
        <v>853</v>
      </c>
      <c r="D33" t="s">
        <v>829</v>
      </c>
      <c r="F33" s="5">
        <v>123448</v>
      </c>
      <c r="G33" s="5">
        <v>123448</v>
      </c>
      <c r="H33">
        <v>0</v>
      </c>
      <c r="I33">
        <v>0</v>
      </c>
      <c r="J33">
        <v>0</v>
      </c>
      <c r="O33">
        <v>0</v>
      </c>
      <c r="R33">
        <v>0</v>
      </c>
      <c r="U33" s="5">
        <v>202031</v>
      </c>
      <c r="V33">
        <v>2</v>
      </c>
      <c r="W33" s="5"/>
    </row>
    <row r="34" spans="1:23" x14ac:dyDescent="0.35">
      <c r="A34">
        <v>3200</v>
      </c>
      <c r="B34" t="s">
        <v>443</v>
      </c>
      <c r="C34" t="s">
        <v>854</v>
      </c>
      <c r="D34" t="s">
        <v>829</v>
      </c>
      <c r="F34" s="5">
        <v>151350</v>
      </c>
      <c r="G34" s="5">
        <v>151350</v>
      </c>
      <c r="H34">
        <v>0</v>
      </c>
      <c r="I34" s="5">
        <v>21674</v>
      </c>
      <c r="J34" s="5">
        <v>10179</v>
      </c>
      <c r="O34">
        <v>0</v>
      </c>
      <c r="R34">
        <v>0</v>
      </c>
      <c r="U34" s="5">
        <v>254316</v>
      </c>
      <c r="V34">
        <v>2</v>
      </c>
      <c r="W34" s="5"/>
    </row>
    <row r="35" spans="1:23" x14ac:dyDescent="0.35">
      <c r="A35">
        <v>3202</v>
      </c>
      <c r="B35" t="s">
        <v>444</v>
      </c>
      <c r="C35" t="s">
        <v>855</v>
      </c>
      <c r="D35" t="s">
        <v>829</v>
      </c>
      <c r="F35" s="5">
        <v>307504</v>
      </c>
      <c r="G35" s="5">
        <v>307504</v>
      </c>
      <c r="H35" s="5">
        <v>2911</v>
      </c>
      <c r="I35" s="5">
        <v>31942</v>
      </c>
      <c r="J35" s="5">
        <v>15203</v>
      </c>
      <c r="O35">
        <v>0</v>
      </c>
      <c r="R35">
        <v>0</v>
      </c>
      <c r="U35" s="5">
        <v>465304</v>
      </c>
      <c r="V35">
        <v>2</v>
      </c>
      <c r="W35" s="5"/>
    </row>
    <row r="36" spans="1:23" x14ac:dyDescent="0.35">
      <c r="A36">
        <v>3204</v>
      </c>
      <c r="B36" t="s">
        <v>445</v>
      </c>
      <c r="C36" t="s">
        <v>856</v>
      </c>
      <c r="D36" t="s">
        <v>829</v>
      </c>
      <c r="V36">
        <v>2</v>
      </c>
      <c r="W36" s="5"/>
    </row>
    <row r="37" spans="1:23" x14ac:dyDescent="0.35">
      <c r="A37">
        <v>3230</v>
      </c>
      <c r="B37" t="s">
        <v>446</v>
      </c>
      <c r="C37" t="s">
        <v>857</v>
      </c>
      <c r="D37" t="s">
        <v>829</v>
      </c>
      <c r="F37" s="5">
        <v>186000</v>
      </c>
      <c r="G37" s="5">
        <v>186000</v>
      </c>
      <c r="H37">
        <v>0</v>
      </c>
      <c r="I37">
        <v>0</v>
      </c>
      <c r="J37">
        <v>0</v>
      </c>
      <c r="O37">
        <v>0</v>
      </c>
      <c r="R37">
        <v>0</v>
      </c>
      <c r="U37" s="5">
        <v>313848</v>
      </c>
      <c r="V37">
        <v>2</v>
      </c>
      <c r="W37" s="5"/>
    </row>
    <row r="38" spans="1:23" x14ac:dyDescent="0.35">
      <c r="A38">
        <v>3250</v>
      </c>
      <c r="B38" t="s">
        <v>447</v>
      </c>
      <c r="C38" t="s">
        <v>858</v>
      </c>
      <c r="D38" t="s">
        <v>829</v>
      </c>
      <c r="U38" s="5">
        <v>480995</v>
      </c>
      <c r="V38">
        <v>2</v>
      </c>
      <c r="W38" s="5"/>
    </row>
    <row r="39" spans="1:23" x14ac:dyDescent="0.35">
      <c r="A39">
        <v>3300</v>
      </c>
      <c r="B39" t="s">
        <v>448</v>
      </c>
      <c r="C39" t="s">
        <v>859</v>
      </c>
      <c r="D39" t="s">
        <v>829</v>
      </c>
      <c r="E39" s="5">
        <v>750544</v>
      </c>
      <c r="F39" s="5">
        <v>461100</v>
      </c>
      <c r="G39" s="5">
        <v>461100</v>
      </c>
      <c r="H39" s="5">
        <v>26598</v>
      </c>
      <c r="I39" s="5">
        <v>59501</v>
      </c>
      <c r="K39">
        <v>0</v>
      </c>
      <c r="L39">
        <v>0</v>
      </c>
      <c r="M39">
        <v>0</v>
      </c>
      <c r="N39">
        <v>0</v>
      </c>
      <c r="O39">
        <v>0</v>
      </c>
      <c r="P39">
        <v>0</v>
      </c>
      <c r="Q39">
        <v>0</v>
      </c>
      <c r="R39">
        <v>0</v>
      </c>
      <c r="S39">
        <v>0</v>
      </c>
      <c r="T39">
        <v>0</v>
      </c>
      <c r="U39" s="5">
        <v>627017</v>
      </c>
      <c r="V39">
        <v>2</v>
      </c>
      <c r="W39" s="5"/>
    </row>
    <row r="40" spans="1:23" x14ac:dyDescent="0.35">
      <c r="A40">
        <v>3390</v>
      </c>
      <c r="B40" t="s">
        <v>449</v>
      </c>
      <c r="C40" t="s">
        <v>860</v>
      </c>
      <c r="D40" t="s">
        <v>829</v>
      </c>
      <c r="V40">
        <v>2</v>
      </c>
      <c r="W40" s="5"/>
    </row>
    <row r="41" spans="1:23" x14ac:dyDescent="0.35">
      <c r="A41">
        <v>3400</v>
      </c>
      <c r="B41" t="s">
        <v>450</v>
      </c>
      <c r="C41" t="s">
        <v>861</v>
      </c>
      <c r="D41" t="s">
        <v>829</v>
      </c>
      <c r="E41" s="5">
        <v>1628883</v>
      </c>
      <c r="F41" s="5">
        <v>958722</v>
      </c>
      <c r="G41" s="5">
        <v>958722</v>
      </c>
      <c r="H41">
        <v>0</v>
      </c>
      <c r="I41">
        <v>0</v>
      </c>
      <c r="K41" s="5">
        <v>60317</v>
      </c>
      <c r="L41" s="5">
        <v>57192</v>
      </c>
      <c r="M41" s="5">
        <v>3125</v>
      </c>
      <c r="N41">
        <v>0</v>
      </c>
      <c r="O41">
        <v>0</v>
      </c>
      <c r="P41">
        <v>0</v>
      </c>
      <c r="Q41">
        <v>0</v>
      </c>
      <c r="R41">
        <v>0</v>
      </c>
      <c r="U41" s="5">
        <v>1943360</v>
      </c>
      <c r="V41">
        <v>2</v>
      </c>
      <c r="W41" s="5"/>
    </row>
    <row r="42" spans="1:23" x14ac:dyDescent="0.35">
      <c r="A42">
        <v>3402</v>
      </c>
      <c r="B42" t="s">
        <v>451</v>
      </c>
      <c r="C42" t="s">
        <v>862</v>
      </c>
      <c r="D42" t="s">
        <v>829</v>
      </c>
      <c r="F42" s="5">
        <v>141271</v>
      </c>
      <c r="G42" s="5">
        <v>141271</v>
      </c>
      <c r="H42">
        <v>0</v>
      </c>
      <c r="I42">
        <v>0</v>
      </c>
      <c r="J42" s="5">
        <v>11918</v>
      </c>
      <c r="O42">
        <v>0</v>
      </c>
      <c r="R42">
        <v>0</v>
      </c>
      <c r="U42" s="5">
        <v>263488</v>
      </c>
      <c r="V42">
        <v>2</v>
      </c>
      <c r="W42" s="5"/>
    </row>
    <row r="43" spans="1:23" x14ac:dyDescent="0.35">
      <c r="A43">
        <v>3450</v>
      </c>
      <c r="B43" t="s">
        <v>452</v>
      </c>
      <c r="C43" t="s">
        <v>863</v>
      </c>
      <c r="D43" t="s">
        <v>829</v>
      </c>
      <c r="V43">
        <v>2</v>
      </c>
      <c r="W43" s="5"/>
    </row>
    <row r="44" spans="1:23" x14ac:dyDescent="0.35">
      <c r="A44">
        <v>3460</v>
      </c>
      <c r="B44" t="s">
        <v>453</v>
      </c>
      <c r="C44" t="s">
        <v>864</v>
      </c>
      <c r="D44" t="s">
        <v>829</v>
      </c>
      <c r="F44" s="5">
        <v>418518</v>
      </c>
      <c r="G44" s="5">
        <v>418518</v>
      </c>
      <c r="H44" s="5">
        <v>3672</v>
      </c>
      <c r="I44" s="5">
        <v>81660</v>
      </c>
      <c r="J44">
        <v>0</v>
      </c>
      <c r="O44">
        <v>0</v>
      </c>
      <c r="R44">
        <v>0</v>
      </c>
      <c r="U44" s="5">
        <v>1042060</v>
      </c>
      <c r="V44">
        <v>2</v>
      </c>
      <c r="W44" s="5"/>
    </row>
    <row r="45" spans="1:23" x14ac:dyDescent="0.35">
      <c r="A45">
        <v>3480</v>
      </c>
      <c r="B45" t="s">
        <v>454</v>
      </c>
      <c r="C45" t="s">
        <v>865</v>
      </c>
      <c r="D45" t="s">
        <v>829</v>
      </c>
      <c r="E45" s="5">
        <v>1203001</v>
      </c>
      <c r="F45" s="5">
        <v>686474</v>
      </c>
      <c r="G45" s="5">
        <v>686474</v>
      </c>
      <c r="H45">
        <v>0</v>
      </c>
      <c r="I45">
        <v>0</v>
      </c>
      <c r="K45" s="5">
        <v>3761</v>
      </c>
      <c r="L45">
        <v>0</v>
      </c>
      <c r="M45" s="5">
        <v>3761</v>
      </c>
      <c r="N45">
        <v>0</v>
      </c>
      <c r="O45">
        <v>0</v>
      </c>
      <c r="P45">
        <v>0</v>
      </c>
      <c r="Q45">
        <v>0</v>
      </c>
      <c r="R45">
        <v>0</v>
      </c>
      <c r="S45">
        <v>0</v>
      </c>
      <c r="T45">
        <v>0</v>
      </c>
      <c r="U45" s="5">
        <v>1589896</v>
      </c>
      <c r="V45">
        <v>2</v>
      </c>
      <c r="W45" s="5"/>
    </row>
    <row r="46" spans="1:23" x14ac:dyDescent="0.35">
      <c r="A46">
        <v>3484</v>
      </c>
      <c r="B46" t="s">
        <v>455</v>
      </c>
      <c r="C46" t="s">
        <v>866</v>
      </c>
      <c r="D46" t="s">
        <v>829</v>
      </c>
      <c r="V46">
        <v>2</v>
      </c>
      <c r="W46" s="5"/>
    </row>
    <row r="47" spans="1:23" x14ac:dyDescent="0.35">
      <c r="A47">
        <v>3520</v>
      </c>
      <c r="B47" t="s">
        <v>456</v>
      </c>
      <c r="C47" t="s">
        <v>867</v>
      </c>
      <c r="D47" t="s">
        <v>829</v>
      </c>
      <c r="F47" s="5">
        <v>1003841</v>
      </c>
      <c r="G47" s="5">
        <v>1003841</v>
      </c>
      <c r="H47">
        <v>0</v>
      </c>
      <c r="I47">
        <v>0</v>
      </c>
      <c r="J47" s="5">
        <v>63987</v>
      </c>
      <c r="O47">
        <v>0</v>
      </c>
      <c r="R47">
        <v>0</v>
      </c>
      <c r="U47" s="5">
        <v>1849073</v>
      </c>
      <c r="V47">
        <v>2</v>
      </c>
      <c r="W47" s="5"/>
    </row>
    <row r="48" spans="1:23" x14ac:dyDescent="0.35">
      <c r="A48">
        <v>3550</v>
      </c>
      <c r="B48" t="s">
        <v>457</v>
      </c>
      <c r="C48" t="s">
        <v>868</v>
      </c>
      <c r="D48" t="s">
        <v>829</v>
      </c>
      <c r="F48" s="5">
        <v>131808</v>
      </c>
      <c r="G48" s="5">
        <v>131808</v>
      </c>
      <c r="H48" s="5">
        <v>5150</v>
      </c>
      <c r="I48" s="5">
        <v>35159</v>
      </c>
      <c r="J48" s="5">
        <v>3961</v>
      </c>
      <c r="O48">
        <v>0</v>
      </c>
      <c r="R48">
        <v>0</v>
      </c>
      <c r="U48" s="5">
        <v>301337</v>
      </c>
      <c r="V48">
        <v>2</v>
      </c>
      <c r="W48" s="5"/>
    </row>
    <row r="49" spans="1:23" x14ac:dyDescent="0.35">
      <c r="A49">
        <v>3600</v>
      </c>
      <c r="B49" t="s">
        <v>458</v>
      </c>
      <c r="C49" t="s">
        <v>869</v>
      </c>
      <c r="D49" t="s">
        <v>829</v>
      </c>
      <c r="E49" s="5">
        <v>1395052</v>
      </c>
      <c r="F49" s="5">
        <v>824913</v>
      </c>
      <c r="G49" s="5">
        <v>824913</v>
      </c>
      <c r="H49">
        <v>0</v>
      </c>
      <c r="I49">
        <v>0</v>
      </c>
      <c r="K49" s="5">
        <v>17960</v>
      </c>
      <c r="L49" s="5">
        <v>17960</v>
      </c>
      <c r="M49">
        <v>0</v>
      </c>
      <c r="N49">
        <v>0</v>
      </c>
      <c r="O49">
        <v>0</v>
      </c>
      <c r="P49">
        <v>0</v>
      </c>
      <c r="Q49">
        <v>0</v>
      </c>
      <c r="R49">
        <v>0</v>
      </c>
      <c r="U49" s="5">
        <v>1265889</v>
      </c>
      <c r="V49">
        <v>2</v>
      </c>
      <c r="W49" s="5"/>
    </row>
    <row r="50" spans="1:23" x14ac:dyDescent="0.35">
      <c r="A50">
        <v>3650</v>
      </c>
      <c r="B50" t="s">
        <v>459</v>
      </c>
      <c r="C50" t="s">
        <v>870</v>
      </c>
      <c r="D50" t="s">
        <v>829</v>
      </c>
      <c r="E50" s="5">
        <v>722996</v>
      </c>
      <c r="F50" s="5">
        <v>385246</v>
      </c>
      <c r="G50" s="5">
        <v>385246</v>
      </c>
      <c r="H50">
        <v>0</v>
      </c>
      <c r="I50">
        <v>0</v>
      </c>
      <c r="K50" s="5">
        <v>8722</v>
      </c>
      <c r="L50" s="5">
        <v>8722</v>
      </c>
      <c r="M50">
        <v>0</v>
      </c>
      <c r="N50">
        <v>0</v>
      </c>
      <c r="O50">
        <v>0</v>
      </c>
      <c r="P50">
        <v>0</v>
      </c>
      <c r="Q50">
        <v>0</v>
      </c>
      <c r="R50">
        <v>0</v>
      </c>
      <c r="U50" s="5">
        <v>629689</v>
      </c>
      <c r="V50">
        <v>2</v>
      </c>
      <c r="W50" s="5"/>
    </row>
    <row r="51" spans="1:23" x14ac:dyDescent="0.35">
      <c r="A51">
        <v>3660</v>
      </c>
      <c r="B51" t="s">
        <v>460</v>
      </c>
      <c r="C51" t="s">
        <v>871</v>
      </c>
      <c r="D51" t="s">
        <v>829</v>
      </c>
      <c r="F51">
        <v>0</v>
      </c>
      <c r="G51">
        <v>0</v>
      </c>
      <c r="H51">
        <v>0</v>
      </c>
      <c r="I51">
        <v>0</v>
      </c>
      <c r="J51">
        <v>0</v>
      </c>
      <c r="O51">
        <v>0</v>
      </c>
      <c r="R51">
        <v>0</v>
      </c>
      <c r="U51" s="5">
        <v>282656</v>
      </c>
      <c r="V51">
        <v>2</v>
      </c>
      <c r="W51" s="5"/>
    </row>
    <row r="52" spans="1:23" x14ac:dyDescent="0.35">
      <c r="A52">
        <v>3662</v>
      </c>
      <c r="B52" t="s">
        <v>461</v>
      </c>
      <c r="C52" t="s">
        <v>872</v>
      </c>
      <c r="D52" t="s">
        <v>829</v>
      </c>
      <c r="V52">
        <v>2</v>
      </c>
      <c r="W52" s="5"/>
    </row>
    <row r="53" spans="1:23" x14ac:dyDescent="0.35">
      <c r="A53">
        <v>3700</v>
      </c>
      <c r="B53" t="s">
        <v>462</v>
      </c>
      <c r="C53" t="s">
        <v>873</v>
      </c>
      <c r="D53" t="s">
        <v>829</v>
      </c>
      <c r="F53" s="5">
        <v>532597</v>
      </c>
      <c r="G53" s="5">
        <v>532597</v>
      </c>
      <c r="H53">
        <v>0</v>
      </c>
      <c r="I53">
        <v>0</v>
      </c>
      <c r="J53" s="5">
        <v>29710</v>
      </c>
      <c r="O53">
        <v>0</v>
      </c>
      <c r="R53">
        <v>0</v>
      </c>
      <c r="U53" s="5">
        <v>848949</v>
      </c>
      <c r="V53">
        <v>2</v>
      </c>
      <c r="W53" s="5"/>
    </row>
    <row r="54" spans="1:23" x14ac:dyDescent="0.35">
      <c r="A54">
        <v>3780</v>
      </c>
      <c r="B54" t="s">
        <v>463</v>
      </c>
      <c r="C54" t="s">
        <v>874</v>
      </c>
      <c r="D54" t="s">
        <v>829</v>
      </c>
      <c r="V54">
        <v>2</v>
      </c>
      <c r="W54" s="5"/>
    </row>
    <row r="55" spans="1:23" x14ac:dyDescent="0.35">
      <c r="A55">
        <v>3790</v>
      </c>
      <c r="B55" t="s">
        <v>464</v>
      </c>
      <c r="C55" t="s">
        <v>875</v>
      </c>
      <c r="D55" t="s">
        <v>829</v>
      </c>
      <c r="E55" s="5">
        <v>1330758</v>
      </c>
      <c r="F55" s="5">
        <v>725981</v>
      </c>
      <c r="G55" s="5">
        <v>725981</v>
      </c>
      <c r="H55" s="5">
        <v>12917</v>
      </c>
      <c r="I55" s="5">
        <v>12792</v>
      </c>
      <c r="K55" s="5">
        <v>19198</v>
      </c>
      <c r="L55" s="5">
        <v>19198</v>
      </c>
      <c r="M55">
        <v>0</v>
      </c>
      <c r="N55">
        <v>0</v>
      </c>
      <c r="O55">
        <v>0</v>
      </c>
      <c r="P55">
        <v>0</v>
      </c>
      <c r="Q55">
        <v>0</v>
      </c>
      <c r="R55">
        <v>0</v>
      </c>
      <c r="S55">
        <v>0</v>
      </c>
      <c r="T55">
        <v>0</v>
      </c>
      <c r="U55" s="5">
        <v>1165668</v>
      </c>
      <c r="V55">
        <v>2</v>
      </c>
      <c r="W55" s="5"/>
    </row>
    <row r="56" spans="1:23" x14ac:dyDescent="0.35">
      <c r="A56">
        <v>4000</v>
      </c>
      <c r="B56" t="s">
        <v>465</v>
      </c>
      <c r="C56" t="s">
        <v>876</v>
      </c>
      <c r="D56" t="s">
        <v>829</v>
      </c>
      <c r="E56" s="5">
        <v>3503477</v>
      </c>
      <c r="F56" s="5">
        <v>1750746</v>
      </c>
      <c r="G56" s="5">
        <v>1750746</v>
      </c>
      <c r="H56" s="5">
        <v>64916</v>
      </c>
      <c r="I56" s="5">
        <v>352301</v>
      </c>
      <c r="K56">
        <v>0</v>
      </c>
      <c r="L56">
        <v>0</v>
      </c>
      <c r="M56">
        <v>0</v>
      </c>
      <c r="N56">
        <v>0</v>
      </c>
      <c r="O56">
        <v>0</v>
      </c>
      <c r="P56">
        <v>0</v>
      </c>
      <c r="Q56">
        <v>0</v>
      </c>
      <c r="R56">
        <v>0</v>
      </c>
      <c r="S56">
        <v>0</v>
      </c>
      <c r="T56">
        <v>0</v>
      </c>
      <c r="U56" s="5">
        <v>3158480</v>
      </c>
      <c r="V56">
        <v>2</v>
      </c>
    </row>
    <row r="57" spans="1:23" x14ac:dyDescent="0.35">
      <c r="A57">
        <v>4030</v>
      </c>
      <c r="B57" t="s">
        <v>466</v>
      </c>
      <c r="C57" t="s">
        <v>877</v>
      </c>
      <c r="D57" t="s">
        <v>829</v>
      </c>
      <c r="F57" s="5">
        <v>216327</v>
      </c>
      <c r="G57" s="5">
        <v>216327</v>
      </c>
      <c r="H57">
        <v>0</v>
      </c>
      <c r="I57">
        <v>0</v>
      </c>
      <c r="J57" s="5">
        <v>8818</v>
      </c>
      <c r="O57">
        <v>0</v>
      </c>
      <c r="R57">
        <v>0</v>
      </c>
      <c r="U57" s="5">
        <v>264455</v>
      </c>
      <c r="V57">
        <v>2</v>
      </c>
      <c r="W57" s="5"/>
    </row>
    <row r="58" spans="1:23" x14ac:dyDescent="0.35">
      <c r="A58">
        <v>4040</v>
      </c>
      <c r="B58" t="s">
        <v>467</v>
      </c>
      <c r="C58" t="s">
        <v>878</v>
      </c>
      <c r="D58" t="s">
        <v>829</v>
      </c>
      <c r="F58" s="5">
        <v>123057</v>
      </c>
      <c r="G58" s="5">
        <v>123057</v>
      </c>
      <c r="H58">
        <v>0</v>
      </c>
      <c r="I58">
        <v>0</v>
      </c>
      <c r="J58" s="5">
        <v>9204</v>
      </c>
      <c r="O58">
        <v>0</v>
      </c>
      <c r="R58">
        <v>0</v>
      </c>
      <c r="U58" s="5">
        <v>230017</v>
      </c>
      <c r="V58">
        <v>2</v>
      </c>
      <c r="W58" s="5"/>
    </row>
    <row r="59" spans="1:23" x14ac:dyDescent="0.35">
      <c r="A59">
        <v>4100</v>
      </c>
      <c r="B59" t="s">
        <v>468</v>
      </c>
      <c r="C59" t="s">
        <v>879</v>
      </c>
      <c r="D59" t="s">
        <v>829</v>
      </c>
      <c r="E59" s="5">
        <v>1942720</v>
      </c>
      <c r="F59" s="5">
        <v>808858</v>
      </c>
      <c r="G59" s="5">
        <v>808858</v>
      </c>
      <c r="H59">
        <v>0</v>
      </c>
      <c r="I59">
        <v>0</v>
      </c>
      <c r="K59">
        <v>0</v>
      </c>
      <c r="L59">
        <v>0</v>
      </c>
      <c r="M59">
        <v>0</v>
      </c>
      <c r="N59">
        <v>0</v>
      </c>
      <c r="O59">
        <v>0</v>
      </c>
      <c r="P59">
        <v>0</v>
      </c>
      <c r="Q59">
        <v>0</v>
      </c>
      <c r="R59">
        <v>0</v>
      </c>
      <c r="S59">
        <v>0</v>
      </c>
      <c r="T59">
        <v>0</v>
      </c>
      <c r="U59" s="5">
        <v>1797078</v>
      </c>
      <c r="V59">
        <v>2</v>
      </c>
      <c r="W59" s="5"/>
    </row>
    <row r="60" spans="1:23" x14ac:dyDescent="0.35">
      <c r="A60">
        <v>4140</v>
      </c>
      <c r="B60" t="s">
        <v>469</v>
      </c>
      <c r="C60" t="s">
        <v>880</v>
      </c>
      <c r="D60" t="s">
        <v>829</v>
      </c>
      <c r="U60" s="5">
        <v>279460</v>
      </c>
      <c r="V60">
        <v>2</v>
      </c>
    </row>
    <row r="61" spans="1:23" x14ac:dyDescent="0.35">
      <c r="A61">
        <v>4150</v>
      </c>
      <c r="B61" t="s">
        <v>470</v>
      </c>
      <c r="C61" t="s">
        <v>881</v>
      </c>
      <c r="D61" t="s">
        <v>829</v>
      </c>
      <c r="V61">
        <v>2</v>
      </c>
    </row>
    <row r="62" spans="1:23" x14ac:dyDescent="0.35">
      <c r="A62">
        <v>4180</v>
      </c>
      <c r="B62" t="s">
        <v>471</v>
      </c>
      <c r="C62" t="s">
        <v>882</v>
      </c>
      <c r="D62" t="s">
        <v>829</v>
      </c>
      <c r="F62" s="5">
        <v>184774</v>
      </c>
      <c r="G62" s="5">
        <v>184774</v>
      </c>
      <c r="H62">
        <v>0</v>
      </c>
      <c r="I62">
        <v>0</v>
      </c>
      <c r="J62">
        <v>0</v>
      </c>
      <c r="O62">
        <v>0</v>
      </c>
      <c r="R62">
        <v>0</v>
      </c>
      <c r="U62" s="5">
        <v>202423</v>
      </c>
      <c r="V62">
        <v>2</v>
      </c>
      <c r="W62" s="5"/>
    </row>
    <row r="63" spans="1:23" x14ac:dyDescent="0.35">
      <c r="A63">
        <v>4220</v>
      </c>
      <c r="B63" t="s">
        <v>472</v>
      </c>
      <c r="C63" t="s">
        <v>883</v>
      </c>
      <c r="D63" t="s">
        <v>829</v>
      </c>
      <c r="E63" s="5">
        <v>3947372</v>
      </c>
      <c r="F63" s="5">
        <v>1135785</v>
      </c>
      <c r="G63" s="5">
        <v>1135785</v>
      </c>
      <c r="K63">
        <v>0</v>
      </c>
      <c r="U63" s="5">
        <v>3454029</v>
      </c>
      <c r="V63">
        <v>2</v>
      </c>
      <c r="W63" s="5"/>
    </row>
    <row r="64" spans="1:23" x14ac:dyDescent="0.35">
      <c r="A64">
        <v>4270</v>
      </c>
      <c r="B64" t="s">
        <v>473</v>
      </c>
      <c r="C64" t="s">
        <v>884</v>
      </c>
      <c r="D64" t="s">
        <v>829</v>
      </c>
      <c r="F64" s="5">
        <v>90013</v>
      </c>
      <c r="G64" s="5">
        <v>90013</v>
      </c>
      <c r="H64">
        <v>0</v>
      </c>
      <c r="I64">
        <v>0</v>
      </c>
      <c r="J64">
        <v>0</v>
      </c>
      <c r="O64">
        <v>0</v>
      </c>
      <c r="R64">
        <v>0</v>
      </c>
      <c r="U64" s="5">
        <v>226413</v>
      </c>
      <c r="V64">
        <v>2</v>
      </c>
    </row>
    <row r="65" spans="1:23" x14ac:dyDescent="0.35">
      <c r="A65">
        <v>4280</v>
      </c>
      <c r="B65" t="s">
        <v>474</v>
      </c>
      <c r="C65" t="s">
        <v>885</v>
      </c>
      <c r="D65" t="s">
        <v>829</v>
      </c>
      <c r="F65" s="5">
        <v>348927</v>
      </c>
      <c r="G65" s="5">
        <v>348927</v>
      </c>
      <c r="H65">
        <v>0</v>
      </c>
      <c r="I65">
        <v>0</v>
      </c>
      <c r="J65">
        <v>0</v>
      </c>
      <c r="O65">
        <v>0</v>
      </c>
      <c r="R65">
        <v>0</v>
      </c>
      <c r="U65" s="5">
        <v>873389</v>
      </c>
      <c r="V65">
        <v>2</v>
      </c>
    </row>
    <row r="66" spans="1:23" x14ac:dyDescent="0.35">
      <c r="A66">
        <v>4290</v>
      </c>
      <c r="B66" t="s">
        <v>475</v>
      </c>
      <c r="C66" t="s">
        <v>886</v>
      </c>
      <c r="D66" t="s">
        <v>829</v>
      </c>
      <c r="E66" s="5">
        <v>585696</v>
      </c>
      <c r="F66" s="5">
        <v>314218</v>
      </c>
      <c r="G66" s="5">
        <v>314218</v>
      </c>
      <c r="H66">
        <v>0</v>
      </c>
      <c r="I66" s="5">
        <v>7980</v>
      </c>
      <c r="K66" s="5">
        <v>37929</v>
      </c>
      <c r="L66">
        <v>0</v>
      </c>
      <c r="M66" s="5">
        <v>37929</v>
      </c>
      <c r="N66">
        <v>0</v>
      </c>
      <c r="O66">
        <v>0</v>
      </c>
      <c r="P66">
        <v>0</v>
      </c>
      <c r="Q66">
        <v>0</v>
      </c>
      <c r="R66">
        <v>0</v>
      </c>
      <c r="S66">
        <v>0</v>
      </c>
      <c r="T66">
        <v>0</v>
      </c>
      <c r="U66" s="5">
        <v>508994</v>
      </c>
      <c r="V66">
        <v>2</v>
      </c>
      <c r="W66" s="5"/>
    </row>
    <row r="67" spans="1:23" x14ac:dyDescent="0.35">
      <c r="A67">
        <v>4292</v>
      </c>
      <c r="B67" t="s">
        <v>476</v>
      </c>
      <c r="C67" t="s">
        <v>887</v>
      </c>
      <c r="D67" t="s">
        <v>829</v>
      </c>
      <c r="F67" s="5">
        <v>118000</v>
      </c>
      <c r="G67" s="5">
        <v>118000</v>
      </c>
      <c r="H67">
        <v>0</v>
      </c>
      <c r="I67">
        <v>0</v>
      </c>
      <c r="J67" s="5">
        <v>1500</v>
      </c>
      <c r="O67">
        <v>0</v>
      </c>
      <c r="R67">
        <v>0</v>
      </c>
      <c r="U67" s="5">
        <v>298000</v>
      </c>
      <c r="V67">
        <v>2</v>
      </c>
    </row>
    <row r="68" spans="1:23" x14ac:dyDescent="0.35">
      <c r="A68">
        <v>4300</v>
      </c>
      <c r="B68" t="s">
        <v>477</v>
      </c>
      <c r="C68" t="s">
        <v>888</v>
      </c>
      <c r="D68" t="s">
        <v>829</v>
      </c>
      <c r="E68" s="5">
        <v>2150182</v>
      </c>
      <c r="F68" s="5">
        <v>846070</v>
      </c>
      <c r="G68" s="5">
        <v>846070</v>
      </c>
      <c r="H68">
        <v>0</v>
      </c>
      <c r="I68">
        <v>0</v>
      </c>
      <c r="K68" s="5">
        <v>15774</v>
      </c>
      <c r="L68">
        <v>0</v>
      </c>
      <c r="M68" s="5">
        <v>15774</v>
      </c>
      <c r="N68">
        <v>0</v>
      </c>
      <c r="O68">
        <v>0</v>
      </c>
      <c r="P68">
        <v>0</v>
      </c>
      <c r="Q68">
        <v>0</v>
      </c>
      <c r="R68">
        <v>0</v>
      </c>
      <c r="S68">
        <v>0</v>
      </c>
      <c r="T68">
        <v>0</v>
      </c>
      <c r="U68" s="5">
        <v>1913990</v>
      </c>
      <c r="V68">
        <v>2</v>
      </c>
      <c r="W68" s="5"/>
    </row>
    <row r="69" spans="1:23" x14ac:dyDescent="0.35">
      <c r="A69">
        <v>4330</v>
      </c>
      <c r="B69" t="s">
        <v>478</v>
      </c>
      <c r="C69" t="s">
        <v>889</v>
      </c>
      <c r="D69" t="s">
        <v>829</v>
      </c>
      <c r="E69" s="5">
        <v>106189</v>
      </c>
      <c r="F69" s="5">
        <v>69321</v>
      </c>
      <c r="G69" s="5">
        <v>69321</v>
      </c>
      <c r="H69">
        <v>0</v>
      </c>
      <c r="I69">
        <v>0</v>
      </c>
      <c r="K69">
        <v>0</v>
      </c>
      <c r="L69">
        <v>0</v>
      </c>
      <c r="M69">
        <v>0</v>
      </c>
      <c r="N69">
        <v>0</v>
      </c>
      <c r="O69">
        <v>0</v>
      </c>
      <c r="P69">
        <v>0</v>
      </c>
      <c r="Q69">
        <v>0</v>
      </c>
      <c r="R69">
        <v>0</v>
      </c>
      <c r="S69">
        <v>0</v>
      </c>
      <c r="T69">
        <v>0</v>
      </c>
      <c r="U69" s="5">
        <v>220302</v>
      </c>
      <c r="V69">
        <v>2</v>
      </c>
    </row>
    <row r="70" spans="1:23" x14ac:dyDescent="0.35">
      <c r="A70">
        <v>4340</v>
      </c>
      <c r="B70" t="s">
        <v>479</v>
      </c>
      <c r="C70" t="s">
        <v>890</v>
      </c>
      <c r="D70" t="s">
        <v>829</v>
      </c>
      <c r="F70" s="5">
        <v>112216</v>
      </c>
      <c r="G70" s="5">
        <v>112216</v>
      </c>
      <c r="H70">
        <v>0</v>
      </c>
      <c r="I70">
        <v>0</v>
      </c>
      <c r="J70">
        <v>0</v>
      </c>
      <c r="O70">
        <v>0</v>
      </c>
      <c r="R70">
        <v>0</v>
      </c>
      <c r="U70" s="5">
        <v>219909</v>
      </c>
      <c r="V70">
        <v>2</v>
      </c>
    </row>
    <row r="71" spans="1:23" x14ac:dyDescent="0.35">
      <c r="A71">
        <v>4400</v>
      </c>
      <c r="B71" t="s">
        <v>480</v>
      </c>
      <c r="C71" t="s">
        <v>891</v>
      </c>
      <c r="D71" t="s">
        <v>829</v>
      </c>
      <c r="E71" s="5">
        <v>1854764</v>
      </c>
      <c r="F71" s="5">
        <v>1833203</v>
      </c>
      <c r="G71" s="5">
        <v>1833203</v>
      </c>
      <c r="H71">
        <v>0</v>
      </c>
      <c r="I71">
        <v>0</v>
      </c>
      <c r="K71">
        <v>0</v>
      </c>
      <c r="L71">
        <v>0</v>
      </c>
      <c r="M71">
        <v>0</v>
      </c>
      <c r="N71">
        <v>0</v>
      </c>
      <c r="O71">
        <v>0</v>
      </c>
      <c r="P71">
        <v>0</v>
      </c>
      <c r="Q71">
        <v>0</v>
      </c>
      <c r="R71">
        <v>0</v>
      </c>
      <c r="S71">
        <v>0</v>
      </c>
      <c r="T71">
        <v>0</v>
      </c>
      <c r="U71" s="5">
        <v>3460373</v>
      </c>
      <c r="V71">
        <v>2</v>
      </c>
      <c r="W71" s="5"/>
    </row>
    <row r="72" spans="1:23" x14ac:dyDescent="0.35">
      <c r="A72">
        <v>4420</v>
      </c>
      <c r="B72" t="s">
        <v>481</v>
      </c>
      <c r="C72" t="s">
        <v>892</v>
      </c>
      <c r="D72" t="s">
        <v>829</v>
      </c>
      <c r="F72" s="5">
        <v>14155</v>
      </c>
      <c r="G72" s="5">
        <v>14155</v>
      </c>
      <c r="H72">
        <v>0</v>
      </c>
      <c r="I72">
        <v>0</v>
      </c>
      <c r="J72">
        <v>0</v>
      </c>
      <c r="O72">
        <v>0</v>
      </c>
      <c r="R72">
        <v>0</v>
      </c>
      <c r="U72" s="5">
        <v>1425635</v>
      </c>
      <c r="V72">
        <v>2</v>
      </c>
    </row>
    <row r="73" spans="1:23" x14ac:dyDescent="0.35">
      <c r="A73">
        <v>4440</v>
      </c>
      <c r="B73" t="s">
        <v>482</v>
      </c>
      <c r="C73" t="s">
        <v>893</v>
      </c>
      <c r="D73" t="s">
        <v>829</v>
      </c>
      <c r="F73" s="5">
        <v>159964</v>
      </c>
      <c r="G73" s="5">
        <v>159964</v>
      </c>
      <c r="H73">
        <v>0</v>
      </c>
      <c r="I73">
        <v>0</v>
      </c>
      <c r="J73">
        <v>0</v>
      </c>
      <c r="O73">
        <v>0</v>
      </c>
      <c r="R73">
        <v>0</v>
      </c>
      <c r="U73" s="5">
        <v>368350</v>
      </c>
      <c r="V73">
        <v>2</v>
      </c>
      <c r="W73" s="5"/>
    </row>
    <row r="74" spans="1:23" x14ac:dyDescent="0.35">
      <c r="A74">
        <v>4520</v>
      </c>
      <c r="B74" t="s">
        <v>483</v>
      </c>
      <c r="C74" t="s">
        <v>894</v>
      </c>
      <c r="D74" t="s">
        <v>829</v>
      </c>
      <c r="F74" s="5">
        <v>183000</v>
      </c>
      <c r="G74" s="5">
        <v>183000</v>
      </c>
      <c r="H74">
        <v>0</v>
      </c>
      <c r="I74">
        <v>0</v>
      </c>
      <c r="J74">
        <v>0</v>
      </c>
      <c r="O74">
        <v>0</v>
      </c>
      <c r="R74">
        <v>0</v>
      </c>
      <c r="U74" s="5">
        <v>665350</v>
      </c>
      <c r="V74">
        <v>2</v>
      </c>
    </row>
    <row r="75" spans="1:23" x14ac:dyDescent="0.35">
      <c r="A75">
        <v>4550</v>
      </c>
      <c r="B75" t="s">
        <v>484</v>
      </c>
      <c r="C75" t="s">
        <v>895</v>
      </c>
      <c r="D75" t="s">
        <v>829</v>
      </c>
      <c r="F75" s="5">
        <v>118543</v>
      </c>
      <c r="G75" s="5">
        <v>118543</v>
      </c>
      <c r="H75" s="5">
        <v>6047</v>
      </c>
      <c r="I75" s="5">
        <v>34582</v>
      </c>
      <c r="J75">
        <v>0</v>
      </c>
      <c r="O75">
        <v>0</v>
      </c>
      <c r="R75">
        <v>0</v>
      </c>
      <c r="U75" s="5">
        <v>227169</v>
      </c>
      <c r="V75">
        <v>2</v>
      </c>
    </row>
    <row r="76" spans="1:23" x14ac:dyDescent="0.35">
      <c r="A76">
        <v>4570</v>
      </c>
      <c r="B76" t="s">
        <v>485</v>
      </c>
      <c r="C76" t="s">
        <v>896</v>
      </c>
      <c r="D76" t="s">
        <v>829</v>
      </c>
      <c r="E76" s="5">
        <v>431144</v>
      </c>
      <c r="F76" s="5">
        <v>405413</v>
      </c>
      <c r="G76" s="5">
        <v>405413</v>
      </c>
      <c r="H76">
        <v>0</v>
      </c>
      <c r="I76">
        <v>0</v>
      </c>
      <c r="K76">
        <v>0</v>
      </c>
      <c r="L76">
        <v>0</v>
      </c>
      <c r="M76">
        <v>0</v>
      </c>
      <c r="N76">
        <v>0</v>
      </c>
      <c r="O76">
        <v>0</v>
      </c>
      <c r="P76">
        <v>0</v>
      </c>
      <c r="Q76">
        <v>0</v>
      </c>
      <c r="R76">
        <v>0</v>
      </c>
      <c r="S76">
        <v>0</v>
      </c>
      <c r="T76">
        <v>0</v>
      </c>
      <c r="U76" s="5">
        <v>371704</v>
      </c>
      <c r="V76">
        <v>2</v>
      </c>
    </row>
    <row r="77" spans="1:23" x14ac:dyDescent="0.35">
      <c r="A77">
        <v>4581</v>
      </c>
      <c r="B77" t="s">
        <v>486</v>
      </c>
      <c r="C77" t="s">
        <v>897</v>
      </c>
      <c r="D77" t="s">
        <v>829</v>
      </c>
      <c r="E77" s="5">
        <v>205586</v>
      </c>
      <c r="F77" s="5">
        <v>127571</v>
      </c>
      <c r="G77" s="5">
        <v>127571</v>
      </c>
      <c r="H77">
        <v>0</v>
      </c>
      <c r="I77">
        <v>0</v>
      </c>
      <c r="K77" s="5">
        <v>8031</v>
      </c>
      <c r="L77" s="5">
        <v>8031</v>
      </c>
      <c r="M77">
        <v>0</v>
      </c>
      <c r="N77">
        <v>0</v>
      </c>
      <c r="O77">
        <v>0</v>
      </c>
      <c r="P77">
        <v>0</v>
      </c>
      <c r="Q77">
        <v>0</v>
      </c>
      <c r="R77">
        <v>0</v>
      </c>
      <c r="S77">
        <v>0</v>
      </c>
      <c r="T77">
        <v>0</v>
      </c>
      <c r="U77" s="5">
        <v>162001</v>
      </c>
      <c r="V77">
        <v>2</v>
      </c>
      <c r="W77" s="5"/>
    </row>
    <row r="78" spans="1:23" x14ac:dyDescent="0.35">
      <c r="A78">
        <v>4600</v>
      </c>
      <c r="B78" t="s">
        <v>487</v>
      </c>
      <c r="C78" t="s">
        <v>898</v>
      </c>
      <c r="D78" t="s">
        <v>829</v>
      </c>
      <c r="E78" s="5">
        <v>1765808</v>
      </c>
      <c r="F78" s="5">
        <v>746295</v>
      </c>
      <c r="G78" s="5">
        <v>746295</v>
      </c>
      <c r="H78" s="5">
        <v>18318</v>
      </c>
      <c r="I78" s="5">
        <v>14829</v>
      </c>
      <c r="K78" s="5">
        <v>2029</v>
      </c>
      <c r="L78" s="5">
        <v>2029</v>
      </c>
      <c r="M78">
        <v>0</v>
      </c>
      <c r="N78">
        <v>0</v>
      </c>
      <c r="O78">
        <v>0</v>
      </c>
      <c r="P78">
        <v>0</v>
      </c>
      <c r="Q78">
        <v>0</v>
      </c>
      <c r="R78">
        <v>0</v>
      </c>
      <c r="U78" s="5">
        <v>1532640</v>
      </c>
      <c r="V78">
        <v>2</v>
      </c>
      <c r="W78" s="5"/>
    </row>
    <row r="79" spans="1:23" x14ac:dyDescent="0.35">
      <c r="A79">
        <v>4602</v>
      </c>
      <c r="B79" t="s">
        <v>488</v>
      </c>
      <c r="C79" t="s">
        <v>899</v>
      </c>
      <c r="D79" t="s">
        <v>829</v>
      </c>
      <c r="F79" s="5">
        <v>146261</v>
      </c>
      <c r="G79" s="5">
        <v>146261</v>
      </c>
      <c r="H79">
        <v>0</v>
      </c>
      <c r="I79">
        <v>0</v>
      </c>
      <c r="J79">
        <v>0</v>
      </c>
      <c r="O79">
        <v>0</v>
      </c>
      <c r="R79">
        <v>0</v>
      </c>
      <c r="U79" s="5">
        <v>298350</v>
      </c>
      <c r="V79">
        <v>2</v>
      </c>
      <c r="W79" s="5"/>
    </row>
    <row r="80" spans="1:23" x14ac:dyDescent="0.35">
      <c r="A80">
        <v>4620</v>
      </c>
      <c r="B80" t="s">
        <v>489</v>
      </c>
      <c r="C80" t="s">
        <v>900</v>
      </c>
      <c r="D80" t="s">
        <v>829</v>
      </c>
      <c r="F80" s="5">
        <v>142679</v>
      </c>
      <c r="G80" s="5">
        <v>142679</v>
      </c>
      <c r="H80">
        <v>0</v>
      </c>
      <c r="I80">
        <v>0</v>
      </c>
      <c r="J80">
        <v>0</v>
      </c>
      <c r="O80">
        <v>0</v>
      </c>
      <c r="R80">
        <v>0</v>
      </c>
      <c r="U80" s="5">
        <v>264287</v>
      </c>
      <c r="V80">
        <v>2</v>
      </c>
      <c r="W80" s="5"/>
    </row>
    <row r="81" spans="1:23" x14ac:dyDescent="0.35">
      <c r="A81">
        <v>4623</v>
      </c>
      <c r="B81" t="s">
        <v>490</v>
      </c>
      <c r="C81" t="s">
        <v>901</v>
      </c>
      <c r="D81" t="s">
        <v>829</v>
      </c>
      <c r="F81" s="5">
        <v>122579</v>
      </c>
      <c r="G81" s="5">
        <v>122579</v>
      </c>
      <c r="H81">
        <v>0</v>
      </c>
      <c r="I81">
        <v>0</v>
      </c>
      <c r="J81">
        <v>0</v>
      </c>
      <c r="O81">
        <v>0</v>
      </c>
      <c r="R81">
        <v>0</v>
      </c>
      <c r="U81" s="5">
        <v>373272</v>
      </c>
      <c r="V81">
        <v>2</v>
      </c>
      <c r="W81" s="5"/>
    </row>
    <row r="82" spans="1:23" x14ac:dyDescent="0.35">
      <c r="A82">
        <v>4640</v>
      </c>
      <c r="B82" t="s">
        <v>491</v>
      </c>
      <c r="C82" t="s">
        <v>902</v>
      </c>
      <c r="D82" t="s">
        <v>829</v>
      </c>
      <c r="V82">
        <v>2</v>
      </c>
      <c r="W82" s="5"/>
    </row>
    <row r="83" spans="1:23" x14ac:dyDescent="0.35">
      <c r="A83">
        <v>4650</v>
      </c>
      <c r="B83" t="s">
        <v>492</v>
      </c>
      <c r="C83" t="s">
        <v>903</v>
      </c>
      <c r="D83" t="s">
        <v>829</v>
      </c>
      <c r="F83" s="5">
        <v>117512</v>
      </c>
      <c r="G83" s="5">
        <v>117512</v>
      </c>
      <c r="H83">
        <v>0</v>
      </c>
      <c r="I83">
        <v>0</v>
      </c>
      <c r="J83">
        <v>0</v>
      </c>
      <c r="O83">
        <v>0</v>
      </c>
      <c r="R83">
        <v>0</v>
      </c>
      <c r="U83" s="5">
        <v>211567</v>
      </c>
      <c r="V83">
        <v>2</v>
      </c>
      <c r="W83" s="5"/>
    </row>
    <row r="84" spans="1:23" x14ac:dyDescent="0.35">
      <c r="A84">
        <v>4660</v>
      </c>
      <c r="B84" t="s">
        <v>493</v>
      </c>
      <c r="C84" t="s">
        <v>904</v>
      </c>
      <c r="D84" t="s">
        <v>829</v>
      </c>
      <c r="V84">
        <v>2</v>
      </c>
      <c r="W84" s="5"/>
    </row>
    <row r="85" spans="1:23" x14ac:dyDescent="0.35">
      <c r="A85">
        <v>4690</v>
      </c>
      <c r="B85" t="s">
        <v>494</v>
      </c>
      <c r="C85" t="s">
        <v>905</v>
      </c>
      <c r="D85" t="s">
        <v>829</v>
      </c>
      <c r="E85" s="5">
        <v>1959742</v>
      </c>
      <c r="F85" s="5">
        <v>1258637</v>
      </c>
      <c r="G85" s="5">
        <v>1258637</v>
      </c>
      <c r="H85">
        <v>0</v>
      </c>
      <c r="I85">
        <v>0</v>
      </c>
      <c r="K85" s="5">
        <v>39103</v>
      </c>
      <c r="L85" s="5">
        <v>39103</v>
      </c>
      <c r="M85">
        <v>0</v>
      </c>
      <c r="N85">
        <v>0</v>
      </c>
      <c r="O85">
        <v>0</v>
      </c>
      <c r="P85">
        <v>0</v>
      </c>
      <c r="Q85">
        <v>0</v>
      </c>
      <c r="R85">
        <v>0</v>
      </c>
      <c r="S85">
        <v>0</v>
      </c>
      <c r="T85">
        <v>0</v>
      </c>
      <c r="U85" s="5">
        <v>1822026</v>
      </c>
      <c r="V85">
        <v>2</v>
      </c>
      <c r="W85" s="5"/>
    </row>
    <row r="86" spans="1:23" x14ac:dyDescent="0.35">
      <c r="A86">
        <v>4700</v>
      </c>
      <c r="B86" t="s">
        <v>495</v>
      </c>
      <c r="C86" t="s">
        <v>906</v>
      </c>
      <c r="D86" t="s">
        <v>829</v>
      </c>
      <c r="E86" s="5">
        <v>2320278</v>
      </c>
      <c r="F86" s="5">
        <v>1086845</v>
      </c>
      <c r="G86" s="5">
        <v>1086845</v>
      </c>
      <c r="K86">
        <v>0</v>
      </c>
      <c r="U86" s="5">
        <v>1946306</v>
      </c>
      <c r="V86">
        <v>2</v>
      </c>
      <c r="W86" s="5"/>
    </row>
    <row r="87" spans="1:23" x14ac:dyDescent="0.35">
      <c r="A87">
        <v>4702</v>
      </c>
      <c r="B87" t="s">
        <v>496</v>
      </c>
      <c r="C87" t="s">
        <v>907</v>
      </c>
      <c r="D87" t="s">
        <v>829</v>
      </c>
      <c r="F87" s="5">
        <v>98669</v>
      </c>
      <c r="G87" s="5">
        <v>98669</v>
      </c>
      <c r="H87">
        <v>0</v>
      </c>
      <c r="I87">
        <v>0</v>
      </c>
      <c r="J87">
        <v>0</v>
      </c>
      <c r="O87">
        <v>0</v>
      </c>
      <c r="R87">
        <v>0</v>
      </c>
      <c r="U87" s="5">
        <v>208341</v>
      </c>
      <c r="V87">
        <v>2</v>
      </c>
      <c r="W87" s="5"/>
    </row>
    <row r="88" spans="1:23" x14ac:dyDescent="0.35">
      <c r="A88">
        <v>4760</v>
      </c>
      <c r="B88" t="s">
        <v>497</v>
      </c>
      <c r="C88" t="s">
        <v>908</v>
      </c>
      <c r="D88" t="s">
        <v>829</v>
      </c>
      <c r="F88" s="5">
        <v>721031</v>
      </c>
      <c r="G88" s="5">
        <v>721031</v>
      </c>
      <c r="H88">
        <v>0</v>
      </c>
      <c r="I88" s="5">
        <v>41612</v>
      </c>
      <c r="J88">
        <v>0</v>
      </c>
      <c r="O88">
        <v>0</v>
      </c>
      <c r="R88">
        <v>0</v>
      </c>
      <c r="U88" s="5">
        <v>1073818</v>
      </c>
      <c r="V88">
        <v>2</v>
      </c>
      <c r="W88" s="5"/>
    </row>
    <row r="89" spans="1:23" x14ac:dyDescent="0.35">
      <c r="A89">
        <v>4762</v>
      </c>
      <c r="B89" t="s">
        <v>498</v>
      </c>
      <c r="C89" t="s">
        <v>909</v>
      </c>
      <c r="D89" t="s">
        <v>829</v>
      </c>
      <c r="F89" s="5">
        <v>87523</v>
      </c>
      <c r="G89" s="5">
        <v>87523</v>
      </c>
      <c r="H89">
        <v>0</v>
      </c>
      <c r="I89" s="5">
        <v>10360</v>
      </c>
      <c r="J89">
        <v>0</v>
      </c>
      <c r="O89">
        <v>0</v>
      </c>
      <c r="R89">
        <v>0</v>
      </c>
      <c r="U89" s="5">
        <v>347011</v>
      </c>
      <c r="V89">
        <v>2</v>
      </c>
      <c r="W89" s="5"/>
    </row>
    <row r="90" spans="1:23" x14ac:dyDescent="0.35">
      <c r="A90">
        <v>4800</v>
      </c>
      <c r="B90" t="s">
        <v>499</v>
      </c>
      <c r="C90" t="s">
        <v>910</v>
      </c>
      <c r="D90" t="s">
        <v>829</v>
      </c>
      <c r="F90" s="5">
        <v>696782</v>
      </c>
      <c r="G90" s="5">
        <v>696782</v>
      </c>
      <c r="H90">
        <v>0</v>
      </c>
      <c r="I90">
        <v>0</v>
      </c>
      <c r="J90">
        <v>0</v>
      </c>
      <c r="O90">
        <v>0</v>
      </c>
      <c r="R90">
        <v>0</v>
      </c>
      <c r="U90" s="5">
        <v>1253299</v>
      </c>
      <c r="V90">
        <v>2</v>
      </c>
    </row>
    <row r="91" spans="1:23" x14ac:dyDescent="0.35">
      <c r="A91">
        <v>4802</v>
      </c>
      <c r="B91" t="s">
        <v>500</v>
      </c>
      <c r="C91" t="s">
        <v>911</v>
      </c>
      <c r="D91" t="s">
        <v>829</v>
      </c>
      <c r="F91" s="5">
        <v>51751</v>
      </c>
      <c r="G91" s="5">
        <v>51751</v>
      </c>
      <c r="H91" s="5">
        <v>4300</v>
      </c>
      <c r="I91" s="5">
        <v>78469</v>
      </c>
      <c r="J91" s="5">
        <v>10156</v>
      </c>
      <c r="O91">
        <v>0</v>
      </c>
      <c r="R91">
        <v>0</v>
      </c>
      <c r="U91" s="5">
        <v>272199</v>
      </c>
      <c r="V91">
        <v>2</v>
      </c>
      <c r="W91" s="5"/>
    </row>
    <row r="92" spans="1:23" x14ac:dyDescent="0.35">
      <c r="A92">
        <v>4840</v>
      </c>
      <c r="B92" t="s">
        <v>501</v>
      </c>
      <c r="C92" t="s">
        <v>912</v>
      </c>
      <c r="D92" t="s">
        <v>829</v>
      </c>
      <c r="F92" s="5">
        <v>113846</v>
      </c>
      <c r="G92" s="5">
        <v>113846</v>
      </c>
      <c r="H92">
        <v>0</v>
      </c>
      <c r="I92">
        <v>0</v>
      </c>
      <c r="J92" s="5">
        <v>8239</v>
      </c>
      <c r="O92">
        <v>0</v>
      </c>
      <c r="R92">
        <v>0</v>
      </c>
      <c r="U92" s="5">
        <v>228607</v>
      </c>
      <c r="V92">
        <v>2</v>
      </c>
    </row>
    <row r="93" spans="1:23" x14ac:dyDescent="0.35">
      <c r="A93">
        <v>4870</v>
      </c>
      <c r="B93" t="s">
        <v>502</v>
      </c>
      <c r="C93" t="s">
        <v>913</v>
      </c>
      <c r="D93" t="s">
        <v>829</v>
      </c>
      <c r="F93" s="5">
        <v>107482</v>
      </c>
      <c r="G93" s="5">
        <v>107482</v>
      </c>
      <c r="H93">
        <v>0</v>
      </c>
      <c r="I93">
        <v>0</v>
      </c>
      <c r="J93">
        <v>0</v>
      </c>
      <c r="O93">
        <v>0</v>
      </c>
      <c r="R93">
        <v>0</v>
      </c>
      <c r="U93" s="5">
        <v>244608</v>
      </c>
      <c r="V93">
        <v>2</v>
      </c>
      <c r="W93" s="5"/>
    </row>
    <row r="94" spans="1:23" x14ac:dyDescent="0.35">
      <c r="A94">
        <v>4900</v>
      </c>
      <c r="B94" t="s">
        <v>503</v>
      </c>
      <c r="C94" t="s">
        <v>914</v>
      </c>
      <c r="D94" t="s">
        <v>829</v>
      </c>
      <c r="E94" s="5">
        <v>1958634</v>
      </c>
      <c r="F94" s="5">
        <v>445002</v>
      </c>
      <c r="G94" s="5">
        <v>445002</v>
      </c>
      <c r="H94">
        <v>0</v>
      </c>
      <c r="I94">
        <v>0</v>
      </c>
      <c r="K94" s="5">
        <v>52624</v>
      </c>
      <c r="L94" s="5">
        <v>40996</v>
      </c>
      <c r="M94">
        <v>0</v>
      </c>
      <c r="N94" s="5">
        <v>11628</v>
      </c>
      <c r="O94">
        <v>0</v>
      </c>
      <c r="P94">
        <v>0</v>
      </c>
      <c r="Q94">
        <v>0</v>
      </c>
      <c r="R94" s="5">
        <v>5575</v>
      </c>
      <c r="S94">
        <v>0</v>
      </c>
      <c r="T94">
        <v>0</v>
      </c>
      <c r="U94" s="5">
        <v>1640891</v>
      </c>
      <c r="V94">
        <v>2</v>
      </c>
    </row>
    <row r="95" spans="1:23" x14ac:dyDescent="0.35">
      <c r="A95">
        <v>5000</v>
      </c>
      <c r="B95" t="s">
        <v>504</v>
      </c>
      <c r="C95" t="s">
        <v>915</v>
      </c>
      <c r="D95" t="s">
        <v>829</v>
      </c>
      <c r="E95" s="5">
        <v>10208214</v>
      </c>
      <c r="F95" s="5">
        <v>2947607</v>
      </c>
      <c r="G95" s="5">
        <v>2947607</v>
      </c>
      <c r="H95" s="5">
        <v>173790</v>
      </c>
      <c r="I95" s="5">
        <v>173790</v>
      </c>
      <c r="K95" s="5">
        <v>140235</v>
      </c>
      <c r="L95" s="5">
        <v>140235</v>
      </c>
      <c r="O95">
        <v>0</v>
      </c>
      <c r="R95">
        <v>0</v>
      </c>
      <c r="S95">
        <v>0</v>
      </c>
      <c r="T95">
        <v>0</v>
      </c>
      <c r="U95" s="5">
        <v>9478607</v>
      </c>
      <c r="V95">
        <v>1</v>
      </c>
    </row>
    <row r="96" spans="1:23" x14ac:dyDescent="0.35">
      <c r="A96">
        <v>5210</v>
      </c>
      <c r="B96" t="s">
        <v>505</v>
      </c>
      <c r="C96" t="s">
        <v>916</v>
      </c>
      <c r="D96" t="s">
        <v>829</v>
      </c>
      <c r="V96">
        <v>1</v>
      </c>
      <c r="W96" s="5"/>
    </row>
    <row r="97" spans="1:23" x14ac:dyDescent="0.35">
      <c r="A97">
        <v>5270</v>
      </c>
      <c r="B97" t="s">
        <v>506</v>
      </c>
      <c r="C97" t="s">
        <v>917</v>
      </c>
      <c r="D97" t="s">
        <v>829</v>
      </c>
      <c r="F97" s="5">
        <v>253369</v>
      </c>
      <c r="G97" s="5">
        <v>253369</v>
      </c>
      <c r="H97">
        <v>0</v>
      </c>
      <c r="I97" s="5">
        <v>16429</v>
      </c>
      <c r="J97" s="5">
        <v>10987</v>
      </c>
      <c r="O97">
        <v>0</v>
      </c>
      <c r="R97">
        <v>0</v>
      </c>
      <c r="U97" s="5">
        <v>639927</v>
      </c>
      <c r="V97">
        <v>1</v>
      </c>
      <c r="W97" s="5"/>
    </row>
    <row r="98" spans="1:23" x14ac:dyDescent="0.35">
      <c r="A98">
        <v>5300</v>
      </c>
      <c r="B98" t="s">
        <v>507</v>
      </c>
      <c r="C98" t="s">
        <v>918</v>
      </c>
      <c r="D98" t="s">
        <v>829</v>
      </c>
      <c r="E98" s="5">
        <v>692878</v>
      </c>
      <c r="F98" s="5">
        <v>399603</v>
      </c>
      <c r="G98" s="5">
        <v>399603</v>
      </c>
      <c r="H98">
        <v>0</v>
      </c>
      <c r="I98">
        <v>0</v>
      </c>
      <c r="K98" s="5">
        <v>50000</v>
      </c>
      <c r="L98" s="5">
        <v>35000</v>
      </c>
      <c r="M98">
        <v>0</v>
      </c>
      <c r="N98" s="5">
        <v>15000</v>
      </c>
      <c r="O98">
        <v>0</v>
      </c>
      <c r="P98">
        <v>0</v>
      </c>
      <c r="Q98">
        <v>0</v>
      </c>
      <c r="R98">
        <v>0</v>
      </c>
      <c r="S98">
        <v>0</v>
      </c>
      <c r="T98">
        <v>0</v>
      </c>
      <c r="U98" s="5">
        <v>889814</v>
      </c>
      <c r="V98">
        <v>1</v>
      </c>
    </row>
    <row r="99" spans="1:23" x14ac:dyDescent="0.35">
      <c r="A99">
        <v>5400</v>
      </c>
      <c r="B99" t="s">
        <v>508</v>
      </c>
      <c r="C99" t="s">
        <v>919</v>
      </c>
      <c r="D99" t="s">
        <v>829</v>
      </c>
      <c r="U99" s="5">
        <v>253652</v>
      </c>
      <c r="V99">
        <v>1</v>
      </c>
    </row>
    <row r="100" spans="1:23" x14ac:dyDescent="0.35">
      <c r="A100">
        <v>5450</v>
      </c>
      <c r="B100" t="s">
        <v>509</v>
      </c>
      <c r="C100" t="s">
        <v>920</v>
      </c>
      <c r="D100" t="s">
        <v>829</v>
      </c>
      <c r="F100" s="5">
        <v>115069</v>
      </c>
      <c r="G100" s="5">
        <v>115069</v>
      </c>
      <c r="H100" s="5">
        <v>51251</v>
      </c>
      <c r="I100" s="5">
        <v>25794</v>
      </c>
      <c r="J100" s="5">
        <v>14417</v>
      </c>
      <c r="O100">
        <v>0</v>
      </c>
      <c r="R100">
        <v>0</v>
      </c>
      <c r="U100" s="5">
        <v>286837</v>
      </c>
      <c r="V100">
        <v>1</v>
      </c>
    </row>
    <row r="101" spans="1:23" x14ac:dyDescent="0.35">
      <c r="A101">
        <v>5470</v>
      </c>
      <c r="B101" t="s">
        <v>510</v>
      </c>
      <c r="C101" t="s">
        <v>921</v>
      </c>
      <c r="D101" t="s">
        <v>829</v>
      </c>
      <c r="F101" s="5">
        <v>129200</v>
      </c>
      <c r="G101" s="5">
        <v>129200</v>
      </c>
      <c r="H101">
        <v>0</v>
      </c>
      <c r="I101">
        <v>0</v>
      </c>
      <c r="J101">
        <v>0</v>
      </c>
      <c r="O101">
        <v>0</v>
      </c>
      <c r="R101">
        <v>0</v>
      </c>
      <c r="U101" s="5">
        <v>272850</v>
      </c>
      <c r="V101">
        <v>1</v>
      </c>
    </row>
    <row r="102" spans="1:23" x14ac:dyDescent="0.35">
      <c r="A102">
        <v>5550</v>
      </c>
      <c r="B102" t="s">
        <v>511</v>
      </c>
      <c r="C102" t="s">
        <v>922</v>
      </c>
      <c r="D102" t="s">
        <v>829</v>
      </c>
      <c r="F102" s="5">
        <v>102943</v>
      </c>
      <c r="G102" s="5">
        <v>102943</v>
      </c>
      <c r="H102">
        <v>0</v>
      </c>
      <c r="I102">
        <v>0</v>
      </c>
      <c r="J102">
        <v>0</v>
      </c>
      <c r="O102">
        <v>0</v>
      </c>
      <c r="R102">
        <v>0</v>
      </c>
      <c r="U102" s="5">
        <v>322755</v>
      </c>
      <c r="V102">
        <v>1</v>
      </c>
      <c r="W102" s="5"/>
    </row>
    <row r="103" spans="1:23" x14ac:dyDescent="0.35">
      <c r="A103">
        <v>5600</v>
      </c>
      <c r="B103" t="s">
        <v>512</v>
      </c>
      <c r="C103" t="s">
        <v>923</v>
      </c>
      <c r="D103" t="s">
        <v>829</v>
      </c>
      <c r="E103" s="5">
        <v>586398</v>
      </c>
      <c r="F103" s="5">
        <v>325723</v>
      </c>
      <c r="G103" s="5">
        <v>325723</v>
      </c>
      <c r="H103">
        <v>0</v>
      </c>
      <c r="I103">
        <v>0</v>
      </c>
      <c r="K103">
        <v>0</v>
      </c>
      <c r="L103">
        <v>0</v>
      </c>
      <c r="M103">
        <v>0</v>
      </c>
      <c r="N103">
        <v>0</v>
      </c>
      <c r="O103">
        <v>0</v>
      </c>
      <c r="P103">
        <v>0</v>
      </c>
      <c r="Q103">
        <v>0</v>
      </c>
      <c r="R103">
        <v>0</v>
      </c>
      <c r="S103">
        <v>0</v>
      </c>
      <c r="T103">
        <v>0</v>
      </c>
      <c r="U103" s="5">
        <v>531056</v>
      </c>
      <c r="V103">
        <v>1</v>
      </c>
      <c r="W103" s="5"/>
    </row>
    <row r="104" spans="1:23" x14ac:dyDescent="0.35">
      <c r="A104">
        <v>5610</v>
      </c>
      <c r="B104" t="s">
        <v>513</v>
      </c>
      <c r="C104" t="s">
        <v>924</v>
      </c>
      <c r="D104" t="s">
        <v>829</v>
      </c>
      <c r="E104" s="5">
        <v>575861</v>
      </c>
      <c r="F104" s="5">
        <v>346046</v>
      </c>
      <c r="G104" s="5">
        <v>346046</v>
      </c>
      <c r="H104">
        <v>0</v>
      </c>
      <c r="I104">
        <v>0</v>
      </c>
      <c r="K104" s="5">
        <v>17361</v>
      </c>
      <c r="L104" s="5">
        <v>17361</v>
      </c>
      <c r="M104">
        <v>0</v>
      </c>
      <c r="N104">
        <v>0</v>
      </c>
      <c r="O104">
        <v>0</v>
      </c>
      <c r="P104">
        <v>0</v>
      </c>
      <c r="Q104">
        <v>0</v>
      </c>
      <c r="R104">
        <v>0</v>
      </c>
      <c r="S104">
        <v>0</v>
      </c>
      <c r="T104">
        <v>0</v>
      </c>
      <c r="U104" s="5">
        <v>535882</v>
      </c>
      <c r="V104">
        <v>1</v>
      </c>
      <c r="W104" s="5"/>
    </row>
    <row r="105" spans="1:23" x14ac:dyDescent="0.35">
      <c r="A105">
        <v>5620</v>
      </c>
      <c r="B105" t="s">
        <v>514</v>
      </c>
      <c r="C105" t="s">
        <v>925</v>
      </c>
      <c r="D105" t="s">
        <v>829</v>
      </c>
      <c r="V105">
        <v>1</v>
      </c>
    </row>
    <row r="106" spans="1:23" x14ac:dyDescent="0.35">
      <c r="A106">
        <v>5680</v>
      </c>
      <c r="B106" t="s">
        <v>515</v>
      </c>
      <c r="C106" t="s">
        <v>926</v>
      </c>
      <c r="D106" t="s">
        <v>829</v>
      </c>
      <c r="F106" s="5">
        <v>146372</v>
      </c>
      <c r="G106" s="5">
        <v>146372</v>
      </c>
      <c r="H106">
        <v>0</v>
      </c>
      <c r="I106" s="5">
        <v>13500</v>
      </c>
      <c r="J106" s="5">
        <v>15000</v>
      </c>
      <c r="O106">
        <v>0</v>
      </c>
      <c r="R106">
        <v>0</v>
      </c>
      <c r="U106" s="5">
        <v>304459</v>
      </c>
      <c r="V106">
        <v>1</v>
      </c>
      <c r="W106" s="5"/>
    </row>
    <row r="107" spans="1:23" x14ac:dyDescent="0.35">
      <c r="A107">
        <v>5700</v>
      </c>
      <c r="B107" t="s">
        <v>516</v>
      </c>
      <c r="C107" t="s">
        <v>927</v>
      </c>
      <c r="D107" t="s">
        <v>829</v>
      </c>
      <c r="E107" s="5">
        <v>1879209</v>
      </c>
      <c r="F107" s="5">
        <v>891578</v>
      </c>
      <c r="G107" s="5">
        <v>891578</v>
      </c>
      <c r="H107">
        <v>0</v>
      </c>
      <c r="I107" s="5">
        <v>4434</v>
      </c>
      <c r="K107" s="5">
        <v>32816</v>
      </c>
      <c r="L107" s="5">
        <v>11151</v>
      </c>
      <c r="M107" s="5">
        <v>18038</v>
      </c>
      <c r="N107">
        <v>0</v>
      </c>
      <c r="O107">
        <v>0</v>
      </c>
      <c r="P107" s="5">
        <v>3627</v>
      </c>
      <c r="Q107">
        <v>0</v>
      </c>
      <c r="R107">
        <v>0</v>
      </c>
      <c r="S107">
        <v>0</v>
      </c>
      <c r="T107">
        <v>0</v>
      </c>
      <c r="U107" s="5">
        <v>1822874</v>
      </c>
      <c r="V107">
        <v>1</v>
      </c>
      <c r="W107" s="5"/>
    </row>
    <row r="108" spans="1:23" x14ac:dyDescent="0.35">
      <c r="A108">
        <v>5704</v>
      </c>
      <c r="B108" t="s">
        <v>517</v>
      </c>
      <c r="C108" t="s">
        <v>928</v>
      </c>
      <c r="D108" t="s">
        <v>829</v>
      </c>
      <c r="F108" s="5">
        <v>164953</v>
      </c>
      <c r="G108" s="5">
        <v>164953</v>
      </c>
      <c r="H108">
        <v>0</v>
      </c>
      <c r="I108">
        <v>0</v>
      </c>
      <c r="J108">
        <v>0</v>
      </c>
      <c r="O108">
        <v>0</v>
      </c>
      <c r="R108">
        <v>0</v>
      </c>
      <c r="U108" s="5">
        <v>193617</v>
      </c>
      <c r="V108">
        <v>1</v>
      </c>
    </row>
    <row r="109" spans="1:23" x14ac:dyDescent="0.35">
      <c r="A109">
        <v>5750</v>
      </c>
      <c r="B109" t="s">
        <v>518</v>
      </c>
      <c r="C109" t="s">
        <v>929</v>
      </c>
      <c r="D109" t="s">
        <v>829</v>
      </c>
      <c r="E109" s="5">
        <v>2005132</v>
      </c>
      <c r="F109" s="5">
        <v>973855</v>
      </c>
      <c r="G109" s="5">
        <v>973855</v>
      </c>
      <c r="H109">
        <v>0</v>
      </c>
      <c r="I109" s="5">
        <v>5868</v>
      </c>
      <c r="K109" s="5">
        <v>44898</v>
      </c>
      <c r="L109" s="5">
        <v>44898</v>
      </c>
      <c r="M109">
        <v>0</v>
      </c>
      <c r="N109">
        <v>0</v>
      </c>
      <c r="O109">
        <v>0</v>
      </c>
      <c r="P109">
        <v>0</v>
      </c>
      <c r="Q109">
        <v>0</v>
      </c>
      <c r="R109">
        <v>0</v>
      </c>
      <c r="U109" s="5">
        <v>1730430</v>
      </c>
      <c r="V109">
        <v>1</v>
      </c>
    </row>
    <row r="110" spans="1:23" x14ac:dyDescent="0.35">
      <c r="A110">
        <v>5762</v>
      </c>
      <c r="B110" t="s">
        <v>519</v>
      </c>
      <c r="C110" t="s">
        <v>930</v>
      </c>
      <c r="D110" t="s">
        <v>829</v>
      </c>
      <c r="V110">
        <v>1</v>
      </c>
      <c r="W110" s="5"/>
    </row>
    <row r="111" spans="1:23" x14ac:dyDescent="0.35">
      <c r="A111">
        <v>5800</v>
      </c>
      <c r="B111" t="s">
        <v>520</v>
      </c>
      <c r="C111" t="s">
        <v>520</v>
      </c>
      <c r="D111" t="s">
        <v>829</v>
      </c>
      <c r="E111" s="5">
        <v>1273878</v>
      </c>
      <c r="F111" s="5">
        <v>619653</v>
      </c>
      <c r="G111" s="5">
        <v>619653</v>
      </c>
      <c r="H111">
        <v>0</v>
      </c>
      <c r="I111">
        <v>0</v>
      </c>
      <c r="K111" s="5">
        <v>82870</v>
      </c>
      <c r="L111" s="5">
        <v>82870</v>
      </c>
      <c r="M111">
        <v>0</v>
      </c>
      <c r="N111">
        <v>0</v>
      </c>
      <c r="O111">
        <v>0</v>
      </c>
      <c r="P111">
        <v>0</v>
      </c>
      <c r="Q111">
        <v>0</v>
      </c>
      <c r="R111">
        <v>0</v>
      </c>
      <c r="S111">
        <v>0</v>
      </c>
      <c r="T111">
        <v>0</v>
      </c>
      <c r="U111" s="5">
        <v>1202739</v>
      </c>
      <c r="V111">
        <v>1</v>
      </c>
    </row>
    <row r="112" spans="1:23" x14ac:dyDescent="0.35">
      <c r="A112">
        <v>5930</v>
      </c>
      <c r="B112" t="s">
        <v>521</v>
      </c>
      <c r="C112" t="s">
        <v>931</v>
      </c>
      <c r="D112" t="s">
        <v>829</v>
      </c>
      <c r="E112" s="5">
        <v>862272</v>
      </c>
      <c r="F112" s="5">
        <v>445542</v>
      </c>
      <c r="G112" s="5">
        <v>445542</v>
      </c>
      <c r="H112">
        <v>0</v>
      </c>
      <c r="I112">
        <v>0</v>
      </c>
      <c r="K112" s="5">
        <v>14037</v>
      </c>
      <c r="L112" s="5">
        <v>14037</v>
      </c>
      <c r="U112" s="5">
        <v>737484</v>
      </c>
      <c r="V112">
        <v>1</v>
      </c>
    </row>
    <row r="113" spans="1:23" x14ac:dyDescent="0.35">
      <c r="A113">
        <v>5950</v>
      </c>
      <c r="B113" t="s">
        <v>522</v>
      </c>
      <c r="C113" t="s">
        <v>932</v>
      </c>
      <c r="D113" t="s">
        <v>829</v>
      </c>
      <c r="F113" s="5">
        <v>146609</v>
      </c>
      <c r="G113" s="5">
        <v>146609</v>
      </c>
      <c r="H113">
        <v>0</v>
      </c>
      <c r="I113">
        <v>0</v>
      </c>
      <c r="J113">
        <v>0</v>
      </c>
      <c r="O113">
        <v>0</v>
      </c>
      <c r="R113">
        <v>0</v>
      </c>
      <c r="U113" s="5">
        <v>272809</v>
      </c>
      <c r="V113">
        <v>1</v>
      </c>
      <c r="W113" s="5"/>
    </row>
    <row r="114" spans="1:23" x14ac:dyDescent="0.35">
      <c r="A114">
        <v>5960</v>
      </c>
      <c r="B114" t="s">
        <v>523</v>
      </c>
      <c r="C114" t="s">
        <v>933</v>
      </c>
      <c r="D114" t="s">
        <v>829</v>
      </c>
      <c r="F114" s="5">
        <v>102531</v>
      </c>
      <c r="G114" s="5">
        <v>102531</v>
      </c>
      <c r="H114">
        <v>0</v>
      </c>
      <c r="I114">
        <v>0</v>
      </c>
      <c r="J114" s="5">
        <v>103336</v>
      </c>
      <c r="O114">
        <v>0</v>
      </c>
      <c r="R114">
        <v>0</v>
      </c>
      <c r="U114" s="5">
        <v>131745</v>
      </c>
      <c r="V114">
        <v>1</v>
      </c>
    </row>
    <row r="115" spans="1:23" x14ac:dyDescent="0.35">
      <c r="A115">
        <v>6000</v>
      </c>
      <c r="B115" t="s">
        <v>524</v>
      </c>
      <c r="C115" t="s">
        <v>524</v>
      </c>
      <c r="D115" t="s">
        <v>829</v>
      </c>
      <c r="E115" s="5">
        <v>12202561</v>
      </c>
      <c r="F115" s="5">
        <v>5534597</v>
      </c>
      <c r="G115" s="5">
        <v>5534597</v>
      </c>
      <c r="H115">
        <v>384</v>
      </c>
      <c r="I115" s="5">
        <v>38455</v>
      </c>
      <c r="K115">
        <v>0</v>
      </c>
      <c r="L115">
        <v>0</v>
      </c>
      <c r="M115">
        <v>0</v>
      </c>
      <c r="N115">
        <v>0</v>
      </c>
      <c r="O115">
        <v>0</v>
      </c>
      <c r="P115">
        <v>0</v>
      </c>
      <c r="Q115">
        <v>0</v>
      </c>
      <c r="R115">
        <v>0</v>
      </c>
      <c r="S115">
        <v>0</v>
      </c>
      <c r="T115">
        <v>0</v>
      </c>
      <c r="U115" s="5">
        <v>10527267</v>
      </c>
      <c r="V115">
        <v>1</v>
      </c>
    </row>
    <row r="116" spans="1:23" x14ac:dyDescent="0.35">
      <c r="A116">
        <v>6002</v>
      </c>
      <c r="B116" t="s">
        <v>525</v>
      </c>
      <c r="C116" t="s">
        <v>934</v>
      </c>
      <c r="D116" t="s">
        <v>829</v>
      </c>
      <c r="F116" s="5">
        <v>108182</v>
      </c>
      <c r="G116" s="5">
        <v>108182</v>
      </c>
      <c r="H116">
        <v>0</v>
      </c>
      <c r="I116">
        <v>0</v>
      </c>
      <c r="J116">
        <v>0</v>
      </c>
      <c r="O116">
        <v>0</v>
      </c>
      <c r="R116">
        <v>0</v>
      </c>
      <c r="U116" s="5">
        <v>249553</v>
      </c>
      <c r="V116">
        <v>1</v>
      </c>
    </row>
    <row r="117" spans="1:23" x14ac:dyDescent="0.35">
      <c r="A117">
        <v>6004</v>
      </c>
      <c r="B117" t="s">
        <v>526</v>
      </c>
      <c r="C117" t="s">
        <v>935</v>
      </c>
      <c r="D117" t="s">
        <v>829</v>
      </c>
      <c r="V117">
        <v>1</v>
      </c>
    </row>
    <row r="118" spans="1:23" x14ac:dyDescent="0.35">
      <c r="A118">
        <v>6006</v>
      </c>
      <c r="B118" t="s">
        <v>527</v>
      </c>
      <c r="C118" t="s">
        <v>936</v>
      </c>
      <c r="D118" t="s">
        <v>829</v>
      </c>
      <c r="F118" s="5">
        <v>149833</v>
      </c>
      <c r="G118" s="5">
        <v>149833</v>
      </c>
      <c r="H118">
        <v>0</v>
      </c>
      <c r="I118">
        <v>0</v>
      </c>
      <c r="J118">
        <v>0</v>
      </c>
      <c r="O118">
        <v>0</v>
      </c>
      <c r="R118" s="5">
        <v>20000</v>
      </c>
      <c r="U118" s="5">
        <v>261120</v>
      </c>
      <c r="V118">
        <v>1</v>
      </c>
    </row>
    <row r="119" spans="1:23" x14ac:dyDescent="0.35">
      <c r="A119">
        <v>6100</v>
      </c>
      <c r="B119" t="s">
        <v>528</v>
      </c>
      <c r="C119" t="s">
        <v>937</v>
      </c>
      <c r="D119" t="s">
        <v>829</v>
      </c>
      <c r="E119" s="5">
        <v>1656886</v>
      </c>
      <c r="F119" s="5">
        <v>952906</v>
      </c>
      <c r="G119" s="5">
        <v>952906</v>
      </c>
      <c r="H119">
        <v>0</v>
      </c>
      <c r="I119">
        <v>0</v>
      </c>
      <c r="K119" s="5">
        <v>81474</v>
      </c>
      <c r="L119">
        <v>0</v>
      </c>
      <c r="M119" s="5">
        <v>81474</v>
      </c>
      <c r="N119">
        <v>0</v>
      </c>
      <c r="O119">
        <v>0</v>
      </c>
      <c r="P119">
        <v>0</v>
      </c>
      <c r="Q119">
        <v>0</v>
      </c>
      <c r="R119">
        <v>0</v>
      </c>
      <c r="S119">
        <v>0</v>
      </c>
      <c r="T119">
        <v>0</v>
      </c>
      <c r="U119" s="5">
        <v>1486618</v>
      </c>
      <c r="V119">
        <v>1</v>
      </c>
      <c r="W119" s="5"/>
    </row>
    <row r="120" spans="1:23" x14ac:dyDescent="0.35">
      <c r="A120">
        <v>6230</v>
      </c>
      <c r="B120" t="s">
        <v>529</v>
      </c>
      <c r="C120" t="s">
        <v>938</v>
      </c>
      <c r="D120" t="s">
        <v>829</v>
      </c>
      <c r="E120" s="5">
        <v>1298963</v>
      </c>
      <c r="F120" s="5">
        <v>553118</v>
      </c>
      <c r="G120" s="5">
        <v>553118</v>
      </c>
      <c r="H120">
        <v>0</v>
      </c>
      <c r="I120">
        <v>0</v>
      </c>
      <c r="K120" s="5">
        <v>40234</v>
      </c>
      <c r="L120" s="5">
        <v>40234</v>
      </c>
      <c r="M120">
        <v>0</v>
      </c>
      <c r="N120">
        <v>0</v>
      </c>
      <c r="O120">
        <v>0</v>
      </c>
      <c r="P120">
        <v>0</v>
      </c>
      <c r="Q120">
        <v>0</v>
      </c>
      <c r="R120">
        <v>0</v>
      </c>
      <c r="S120">
        <v>0</v>
      </c>
      <c r="T120">
        <v>0</v>
      </c>
      <c r="U120" s="5">
        <v>1191105</v>
      </c>
      <c r="V120">
        <v>1</v>
      </c>
    </row>
    <row r="121" spans="1:23" x14ac:dyDescent="0.35">
      <c r="A121">
        <v>6232</v>
      </c>
      <c r="B121" t="s">
        <v>530</v>
      </c>
      <c r="C121" t="s">
        <v>939</v>
      </c>
      <c r="D121" t="s">
        <v>829</v>
      </c>
      <c r="F121" s="5">
        <v>190444</v>
      </c>
      <c r="G121" s="5">
        <v>190444</v>
      </c>
      <c r="H121">
        <v>0</v>
      </c>
      <c r="I121">
        <v>200</v>
      </c>
      <c r="J121">
        <v>6</v>
      </c>
      <c r="O121">
        <v>0</v>
      </c>
      <c r="R121">
        <v>0</v>
      </c>
      <c r="U121" s="5">
        <v>330638</v>
      </c>
      <c r="V121">
        <v>1</v>
      </c>
    </row>
    <row r="122" spans="1:23" x14ac:dyDescent="0.35">
      <c r="A122">
        <v>6260</v>
      </c>
      <c r="B122" t="s">
        <v>531</v>
      </c>
      <c r="C122" t="s">
        <v>940</v>
      </c>
      <c r="D122" t="s">
        <v>829</v>
      </c>
      <c r="E122" s="5">
        <v>1680398</v>
      </c>
      <c r="F122" s="5">
        <v>813933</v>
      </c>
      <c r="G122" s="5">
        <v>813933</v>
      </c>
      <c r="H122">
        <v>0</v>
      </c>
      <c r="I122">
        <v>0</v>
      </c>
      <c r="K122" s="5">
        <v>64211</v>
      </c>
      <c r="L122" s="5">
        <v>63800</v>
      </c>
      <c r="M122">
        <v>411</v>
      </c>
      <c r="N122">
        <v>0</v>
      </c>
      <c r="O122">
        <v>0</v>
      </c>
      <c r="P122">
        <v>0</v>
      </c>
      <c r="Q122">
        <v>0</v>
      </c>
      <c r="R122">
        <v>0</v>
      </c>
      <c r="S122">
        <v>0</v>
      </c>
      <c r="T122">
        <v>0</v>
      </c>
      <c r="U122" s="5">
        <v>1557784</v>
      </c>
      <c r="V122">
        <v>1</v>
      </c>
    </row>
    <row r="123" spans="1:23" x14ac:dyDescent="0.35">
      <c r="A123">
        <v>6262</v>
      </c>
      <c r="B123" t="s">
        <v>532</v>
      </c>
      <c r="C123" t="s">
        <v>941</v>
      </c>
      <c r="D123" t="s">
        <v>829</v>
      </c>
      <c r="V123">
        <v>1</v>
      </c>
    </row>
    <row r="124" spans="1:23" x14ac:dyDescent="0.35">
      <c r="A124">
        <v>6310</v>
      </c>
      <c r="B124" t="s">
        <v>533</v>
      </c>
      <c r="C124" t="s">
        <v>942</v>
      </c>
      <c r="D124" t="s">
        <v>829</v>
      </c>
      <c r="F124" s="5">
        <v>97097</v>
      </c>
      <c r="G124" s="5">
        <v>97097</v>
      </c>
      <c r="H124">
        <v>0</v>
      </c>
      <c r="I124">
        <v>0</v>
      </c>
      <c r="J124">
        <v>0</v>
      </c>
      <c r="O124">
        <v>0</v>
      </c>
      <c r="R124">
        <v>0</v>
      </c>
      <c r="U124" s="5">
        <v>218281</v>
      </c>
      <c r="V124">
        <v>1</v>
      </c>
    </row>
    <row r="125" spans="1:23" x14ac:dyDescent="0.35">
      <c r="A125">
        <v>6330</v>
      </c>
      <c r="B125" t="s">
        <v>534</v>
      </c>
      <c r="C125" t="s">
        <v>943</v>
      </c>
      <c r="D125" t="s">
        <v>829</v>
      </c>
      <c r="F125" s="5">
        <v>199828</v>
      </c>
      <c r="G125" s="5">
        <v>199828</v>
      </c>
      <c r="H125">
        <v>0</v>
      </c>
      <c r="I125" s="5">
        <v>45232</v>
      </c>
      <c r="J125" s="5">
        <v>23651</v>
      </c>
      <c r="O125">
        <v>0</v>
      </c>
      <c r="R125">
        <v>0</v>
      </c>
      <c r="U125" s="5">
        <v>623123</v>
      </c>
      <c r="V125">
        <v>1</v>
      </c>
    </row>
    <row r="126" spans="1:23" x14ac:dyDescent="0.35">
      <c r="A126">
        <v>6360</v>
      </c>
      <c r="B126" t="s">
        <v>535</v>
      </c>
      <c r="C126" t="s">
        <v>944</v>
      </c>
      <c r="D126" t="s">
        <v>829</v>
      </c>
      <c r="F126" s="5">
        <v>159786</v>
      </c>
      <c r="G126" s="5">
        <v>159786</v>
      </c>
      <c r="H126">
        <v>0</v>
      </c>
      <c r="I126" s="5">
        <v>28900</v>
      </c>
      <c r="J126">
        <v>0</v>
      </c>
      <c r="O126">
        <v>0</v>
      </c>
      <c r="R126">
        <v>0</v>
      </c>
      <c r="U126" s="5">
        <v>409056</v>
      </c>
      <c r="V126">
        <v>1</v>
      </c>
    </row>
    <row r="127" spans="1:23" x14ac:dyDescent="0.35">
      <c r="A127">
        <v>6390</v>
      </c>
      <c r="B127" t="s">
        <v>536</v>
      </c>
      <c r="C127" t="s">
        <v>945</v>
      </c>
      <c r="D127" t="s">
        <v>829</v>
      </c>
      <c r="F127" s="5">
        <v>120542</v>
      </c>
      <c r="G127" s="5">
        <v>120542</v>
      </c>
      <c r="H127">
        <v>0</v>
      </c>
      <c r="I127">
        <v>0</v>
      </c>
      <c r="J127">
        <v>0</v>
      </c>
      <c r="O127">
        <v>0</v>
      </c>
      <c r="R127">
        <v>0</v>
      </c>
      <c r="U127" s="5">
        <v>259245</v>
      </c>
      <c r="V127">
        <v>1</v>
      </c>
    </row>
    <row r="128" spans="1:23" x14ac:dyDescent="0.35">
      <c r="A128">
        <v>6400</v>
      </c>
      <c r="B128" t="s">
        <v>537</v>
      </c>
      <c r="C128" t="s">
        <v>946</v>
      </c>
      <c r="D128" t="s">
        <v>829</v>
      </c>
      <c r="E128" s="5">
        <v>2373672</v>
      </c>
      <c r="F128" s="5">
        <v>999548</v>
      </c>
      <c r="G128" s="5">
        <v>999548</v>
      </c>
      <c r="H128">
        <v>0</v>
      </c>
      <c r="I128">
        <v>0</v>
      </c>
      <c r="K128" s="5">
        <v>8892</v>
      </c>
      <c r="L128">
        <v>0</v>
      </c>
      <c r="M128" s="5">
        <v>8892</v>
      </c>
      <c r="N128">
        <v>0</v>
      </c>
      <c r="O128">
        <v>0</v>
      </c>
      <c r="P128">
        <v>0</v>
      </c>
      <c r="Q128">
        <v>0</v>
      </c>
      <c r="R128" s="5">
        <v>24396</v>
      </c>
      <c r="S128">
        <v>0</v>
      </c>
      <c r="T128">
        <v>0</v>
      </c>
      <c r="U128" s="5">
        <v>2136572</v>
      </c>
      <c r="V128">
        <v>1</v>
      </c>
    </row>
    <row r="129" spans="1:23" x14ac:dyDescent="0.35">
      <c r="A129">
        <v>6470</v>
      </c>
      <c r="B129" t="s">
        <v>538</v>
      </c>
      <c r="C129" t="s">
        <v>947</v>
      </c>
      <c r="D129" t="s">
        <v>829</v>
      </c>
      <c r="F129" s="5">
        <v>152564</v>
      </c>
      <c r="G129" s="5">
        <v>152564</v>
      </c>
      <c r="H129" s="5">
        <v>3499</v>
      </c>
      <c r="I129" s="5">
        <v>52850</v>
      </c>
      <c r="J129">
        <v>0</v>
      </c>
      <c r="O129">
        <v>0</v>
      </c>
      <c r="R129">
        <v>0</v>
      </c>
      <c r="U129" s="5">
        <v>285925</v>
      </c>
      <c r="V129">
        <v>1</v>
      </c>
      <c r="W129" s="5"/>
    </row>
    <row r="130" spans="1:23" x14ac:dyDescent="0.35">
      <c r="A130">
        <v>6510</v>
      </c>
      <c r="B130" t="s">
        <v>539</v>
      </c>
      <c r="C130" t="s">
        <v>948</v>
      </c>
      <c r="D130" t="s">
        <v>829</v>
      </c>
      <c r="F130" s="5">
        <v>141965</v>
      </c>
      <c r="G130" s="5">
        <v>141965</v>
      </c>
      <c r="H130">
        <v>0</v>
      </c>
      <c r="I130">
        <v>0</v>
      </c>
      <c r="J130">
        <v>0</v>
      </c>
      <c r="O130">
        <v>0</v>
      </c>
      <c r="R130">
        <v>0</v>
      </c>
      <c r="U130" s="5">
        <v>242025</v>
      </c>
      <c r="V130">
        <v>1</v>
      </c>
    </row>
    <row r="131" spans="1:23" x14ac:dyDescent="0.35">
      <c r="A131">
        <v>6520</v>
      </c>
      <c r="B131" t="s">
        <v>540</v>
      </c>
      <c r="C131" t="s">
        <v>949</v>
      </c>
      <c r="D131" t="s">
        <v>829</v>
      </c>
      <c r="F131" s="5">
        <v>202583</v>
      </c>
      <c r="G131" s="5">
        <v>202583</v>
      </c>
      <c r="H131">
        <v>0</v>
      </c>
      <c r="I131">
        <v>0</v>
      </c>
      <c r="J131" s="5">
        <v>6359</v>
      </c>
      <c r="O131">
        <v>0</v>
      </c>
      <c r="R131">
        <v>0</v>
      </c>
      <c r="U131" s="5">
        <v>441027</v>
      </c>
      <c r="V131">
        <v>1</v>
      </c>
      <c r="W131" s="5"/>
    </row>
    <row r="132" spans="1:23" x14ac:dyDescent="0.35">
      <c r="A132">
        <v>6530</v>
      </c>
      <c r="B132" t="s">
        <v>541</v>
      </c>
      <c r="C132" t="s">
        <v>950</v>
      </c>
      <c r="D132" t="s">
        <v>829</v>
      </c>
      <c r="V132">
        <v>1</v>
      </c>
    </row>
    <row r="133" spans="1:23" x14ac:dyDescent="0.35">
      <c r="A133">
        <v>6580</v>
      </c>
      <c r="B133" t="s">
        <v>542</v>
      </c>
      <c r="C133" t="s">
        <v>951</v>
      </c>
      <c r="D133" t="s">
        <v>829</v>
      </c>
      <c r="F133" s="5">
        <v>97284</v>
      </c>
      <c r="G133" s="5">
        <v>97284</v>
      </c>
      <c r="H133">
        <v>0</v>
      </c>
      <c r="I133">
        <v>0</v>
      </c>
      <c r="J133">
        <v>0</v>
      </c>
      <c r="O133">
        <v>0</v>
      </c>
      <c r="R133">
        <v>0</v>
      </c>
      <c r="U133" s="5">
        <v>278661</v>
      </c>
      <c r="V133">
        <v>1</v>
      </c>
    </row>
    <row r="134" spans="1:23" x14ac:dyDescent="0.35">
      <c r="A134">
        <v>6600</v>
      </c>
      <c r="B134" t="s">
        <v>543</v>
      </c>
      <c r="C134" t="s">
        <v>952</v>
      </c>
      <c r="D134" t="s">
        <v>829</v>
      </c>
      <c r="E134" s="5">
        <v>1072278</v>
      </c>
      <c r="F134" s="5">
        <v>480444</v>
      </c>
      <c r="G134" s="5">
        <v>480444</v>
      </c>
      <c r="H134">
        <v>368</v>
      </c>
      <c r="I134" s="5">
        <v>1494</v>
      </c>
      <c r="K134" s="5">
        <v>19122</v>
      </c>
      <c r="L134" s="5">
        <v>19122</v>
      </c>
      <c r="M134">
        <v>0</v>
      </c>
      <c r="N134">
        <v>0</v>
      </c>
      <c r="O134">
        <v>0</v>
      </c>
      <c r="P134">
        <v>0</v>
      </c>
      <c r="Q134">
        <v>0</v>
      </c>
      <c r="R134">
        <v>0</v>
      </c>
      <c r="U134" s="5">
        <v>1008055</v>
      </c>
      <c r="V134">
        <v>1</v>
      </c>
    </row>
    <row r="135" spans="1:23" x14ac:dyDescent="0.35">
      <c r="A135">
        <v>6630</v>
      </c>
      <c r="B135" t="s">
        <v>544</v>
      </c>
      <c r="C135" t="s">
        <v>953</v>
      </c>
      <c r="D135" t="s">
        <v>829</v>
      </c>
      <c r="F135" s="5">
        <v>178916</v>
      </c>
      <c r="G135" s="5">
        <v>178916</v>
      </c>
      <c r="H135">
        <v>0</v>
      </c>
      <c r="I135">
        <v>0</v>
      </c>
      <c r="J135">
        <v>0</v>
      </c>
      <c r="O135">
        <v>0</v>
      </c>
      <c r="R135">
        <v>0</v>
      </c>
      <c r="U135" s="5">
        <v>258472</v>
      </c>
      <c r="V135">
        <v>1</v>
      </c>
    </row>
    <row r="136" spans="1:23" x14ac:dyDescent="0.35">
      <c r="A136">
        <v>6650</v>
      </c>
      <c r="B136" t="s">
        <v>545</v>
      </c>
      <c r="C136" t="s">
        <v>954</v>
      </c>
      <c r="D136" t="s">
        <v>829</v>
      </c>
      <c r="F136" s="5">
        <v>285018</v>
      </c>
      <c r="G136" s="5">
        <v>285018</v>
      </c>
      <c r="H136" s="5">
        <v>1265</v>
      </c>
      <c r="I136" s="5">
        <v>35000</v>
      </c>
      <c r="J136">
        <v>0</v>
      </c>
      <c r="O136">
        <v>0</v>
      </c>
      <c r="R136">
        <v>0</v>
      </c>
      <c r="U136" s="5">
        <v>506045</v>
      </c>
      <c r="V136">
        <v>1</v>
      </c>
      <c r="W136" s="5"/>
    </row>
    <row r="137" spans="1:23" x14ac:dyDescent="0.35">
      <c r="A137">
        <v>6710</v>
      </c>
      <c r="B137" t="s">
        <v>546</v>
      </c>
      <c r="C137" t="s">
        <v>955</v>
      </c>
      <c r="D137" t="s">
        <v>829</v>
      </c>
      <c r="F137" s="5">
        <v>172176</v>
      </c>
      <c r="G137" s="5">
        <v>172176</v>
      </c>
      <c r="H137">
        <v>0</v>
      </c>
      <c r="I137">
        <v>0</v>
      </c>
      <c r="J137" s="5">
        <v>10941</v>
      </c>
      <c r="O137">
        <v>0</v>
      </c>
      <c r="R137">
        <v>0</v>
      </c>
      <c r="U137" s="5">
        <v>312420</v>
      </c>
      <c r="V137">
        <v>1</v>
      </c>
      <c r="W137" s="5"/>
    </row>
    <row r="138" spans="1:23" x14ac:dyDescent="0.35">
      <c r="A138">
        <v>6715</v>
      </c>
      <c r="B138" t="s">
        <v>547</v>
      </c>
      <c r="C138" t="s">
        <v>956</v>
      </c>
      <c r="D138" t="s">
        <v>829</v>
      </c>
      <c r="E138" s="5">
        <v>8384902</v>
      </c>
      <c r="F138" s="5">
        <v>3314149</v>
      </c>
      <c r="G138" s="5">
        <v>3314149</v>
      </c>
      <c r="H138" s="5">
        <v>4704</v>
      </c>
      <c r="I138" s="5">
        <v>73752</v>
      </c>
      <c r="K138" s="5">
        <v>55350</v>
      </c>
      <c r="L138" s="5">
        <v>55350</v>
      </c>
      <c r="M138">
        <v>0</v>
      </c>
      <c r="N138">
        <v>0</v>
      </c>
      <c r="O138">
        <v>0</v>
      </c>
      <c r="P138">
        <v>0</v>
      </c>
      <c r="Q138">
        <v>0</v>
      </c>
      <c r="R138">
        <v>0</v>
      </c>
      <c r="S138">
        <v>0</v>
      </c>
      <c r="T138">
        <v>0</v>
      </c>
      <c r="U138" s="5">
        <v>8034782</v>
      </c>
      <c r="V138">
        <v>1</v>
      </c>
    </row>
    <row r="139" spans="1:23" x14ac:dyDescent="0.35">
      <c r="A139">
        <v>6720</v>
      </c>
      <c r="B139" t="s">
        <v>548</v>
      </c>
      <c r="C139" t="s">
        <v>957</v>
      </c>
      <c r="D139" t="s">
        <v>829</v>
      </c>
      <c r="F139" s="5">
        <v>325922</v>
      </c>
      <c r="G139" s="5">
        <v>325922</v>
      </c>
      <c r="H139">
        <v>0</v>
      </c>
      <c r="I139">
        <v>0</v>
      </c>
      <c r="J139">
        <v>0</v>
      </c>
      <c r="O139">
        <v>0</v>
      </c>
      <c r="R139">
        <v>0</v>
      </c>
      <c r="U139" s="5">
        <v>263154</v>
      </c>
      <c r="V139">
        <v>1</v>
      </c>
    </row>
    <row r="140" spans="1:23" x14ac:dyDescent="0.35">
      <c r="A140">
        <v>6740</v>
      </c>
      <c r="B140" t="s">
        <v>549</v>
      </c>
      <c r="C140" t="s">
        <v>958</v>
      </c>
      <c r="D140" t="s">
        <v>829</v>
      </c>
      <c r="F140" s="5">
        <v>169508</v>
      </c>
      <c r="G140" s="5">
        <v>169508</v>
      </c>
      <c r="H140">
        <v>0</v>
      </c>
      <c r="I140">
        <v>0</v>
      </c>
      <c r="J140">
        <v>0</v>
      </c>
      <c r="O140">
        <v>0</v>
      </c>
      <c r="R140">
        <v>0</v>
      </c>
      <c r="U140" s="5">
        <v>439513</v>
      </c>
      <c r="V140">
        <v>1</v>
      </c>
      <c r="W140" s="5"/>
    </row>
    <row r="141" spans="1:23" x14ac:dyDescent="0.35">
      <c r="A141">
        <v>6780</v>
      </c>
      <c r="B141" t="s">
        <v>550</v>
      </c>
      <c r="C141" t="s">
        <v>959</v>
      </c>
      <c r="D141" t="s">
        <v>829</v>
      </c>
      <c r="F141" s="5">
        <v>274087</v>
      </c>
      <c r="G141" s="5">
        <v>274087</v>
      </c>
      <c r="H141">
        <v>0</v>
      </c>
      <c r="I141" s="5">
        <v>9710</v>
      </c>
      <c r="J141" s="5">
        <v>3285</v>
      </c>
      <c r="O141">
        <v>0</v>
      </c>
      <c r="R141">
        <v>0</v>
      </c>
      <c r="U141" s="5">
        <v>668785</v>
      </c>
      <c r="V141">
        <v>1</v>
      </c>
    </row>
    <row r="142" spans="1:23" x14ac:dyDescent="0.35">
      <c r="A142">
        <v>6802</v>
      </c>
      <c r="B142" t="s">
        <v>551</v>
      </c>
      <c r="C142" t="s">
        <v>960</v>
      </c>
      <c r="D142" t="s">
        <v>829</v>
      </c>
      <c r="F142" s="5">
        <v>102669</v>
      </c>
      <c r="G142" s="5">
        <v>102669</v>
      </c>
      <c r="H142">
        <v>0</v>
      </c>
      <c r="I142">
        <v>0</v>
      </c>
      <c r="J142">
        <v>0</v>
      </c>
      <c r="O142">
        <v>0</v>
      </c>
      <c r="R142">
        <v>0</v>
      </c>
      <c r="U142" s="5">
        <v>201557</v>
      </c>
      <c r="V142">
        <v>1</v>
      </c>
      <c r="W142" s="5"/>
    </row>
    <row r="143" spans="1:23" x14ac:dyDescent="0.35">
      <c r="A143">
        <v>6810</v>
      </c>
      <c r="B143" t="s">
        <v>552</v>
      </c>
      <c r="C143" t="s">
        <v>961</v>
      </c>
      <c r="D143" t="s">
        <v>829</v>
      </c>
      <c r="V143">
        <v>1</v>
      </c>
    </row>
    <row r="144" spans="1:23" x14ac:dyDescent="0.35">
      <c r="A144">
        <v>6820</v>
      </c>
      <c r="B144" t="s">
        <v>553</v>
      </c>
      <c r="C144" t="s">
        <v>962</v>
      </c>
      <c r="D144" t="s">
        <v>829</v>
      </c>
      <c r="F144" s="5">
        <v>134345</v>
      </c>
      <c r="G144" s="5">
        <v>134345</v>
      </c>
      <c r="H144">
        <v>0</v>
      </c>
      <c r="I144">
        <v>0</v>
      </c>
      <c r="J144">
        <v>105</v>
      </c>
      <c r="O144">
        <v>0</v>
      </c>
      <c r="R144">
        <v>0</v>
      </c>
      <c r="U144" s="5">
        <v>304555</v>
      </c>
      <c r="V144">
        <v>1</v>
      </c>
    </row>
    <row r="145" spans="1:23" x14ac:dyDescent="0.35">
      <c r="A145">
        <v>6830</v>
      </c>
      <c r="B145" t="s">
        <v>554</v>
      </c>
      <c r="C145" t="s">
        <v>963</v>
      </c>
      <c r="D145" t="s">
        <v>829</v>
      </c>
      <c r="U145" s="5">
        <v>728891</v>
      </c>
      <c r="V145">
        <v>1</v>
      </c>
    </row>
    <row r="146" spans="1:23" x14ac:dyDescent="0.35">
      <c r="A146">
        <v>6850</v>
      </c>
      <c r="B146" t="s">
        <v>555</v>
      </c>
      <c r="C146" t="s">
        <v>964</v>
      </c>
      <c r="D146" t="s">
        <v>829</v>
      </c>
      <c r="F146" s="5">
        <v>160788</v>
      </c>
      <c r="G146" s="5">
        <v>160788</v>
      </c>
      <c r="H146">
        <v>0</v>
      </c>
      <c r="I146">
        <v>0</v>
      </c>
      <c r="J146">
        <v>920</v>
      </c>
      <c r="O146">
        <v>0</v>
      </c>
      <c r="R146">
        <v>0</v>
      </c>
      <c r="U146" s="5">
        <v>319442</v>
      </c>
      <c r="V146">
        <v>1</v>
      </c>
    </row>
    <row r="147" spans="1:23" x14ac:dyDescent="0.35">
      <c r="A147">
        <v>6852</v>
      </c>
      <c r="B147" t="s">
        <v>556</v>
      </c>
      <c r="C147" t="s">
        <v>965</v>
      </c>
      <c r="D147" t="s">
        <v>829</v>
      </c>
      <c r="V147">
        <v>1</v>
      </c>
    </row>
    <row r="148" spans="1:23" x14ac:dyDescent="0.35">
      <c r="A148">
        <v>6860</v>
      </c>
      <c r="B148" t="s">
        <v>557</v>
      </c>
      <c r="C148" t="s">
        <v>966</v>
      </c>
      <c r="D148" t="s">
        <v>829</v>
      </c>
      <c r="V148">
        <v>1</v>
      </c>
    </row>
    <row r="149" spans="1:23" x14ac:dyDescent="0.35">
      <c r="A149">
        <v>6870</v>
      </c>
      <c r="B149" t="s">
        <v>558</v>
      </c>
      <c r="C149" t="s">
        <v>967</v>
      </c>
      <c r="D149" t="s">
        <v>829</v>
      </c>
      <c r="F149" s="5">
        <v>348660</v>
      </c>
      <c r="G149" s="5">
        <v>348660</v>
      </c>
      <c r="H149">
        <v>0</v>
      </c>
      <c r="I149">
        <v>0</v>
      </c>
      <c r="J149">
        <v>0</v>
      </c>
      <c r="O149">
        <v>0</v>
      </c>
      <c r="R149">
        <v>0</v>
      </c>
      <c r="U149" s="5">
        <v>723255</v>
      </c>
      <c r="V149">
        <v>1</v>
      </c>
    </row>
    <row r="150" spans="1:23" x14ac:dyDescent="0.35">
      <c r="A150">
        <v>6901</v>
      </c>
      <c r="B150" t="s">
        <v>559</v>
      </c>
      <c r="C150" t="s">
        <v>968</v>
      </c>
      <c r="D150" t="s">
        <v>829</v>
      </c>
      <c r="E150" s="5">
        <v>3267034</v>
      </c>
      <c r="F150" s="5">
        <v>1612315</v>
      </c>
      <c r="G150" s="5">
        <v>1612315</v>
      </c>
      <c r="H150">
        <v>15</v>
      </c>
      <c r="I150" s="5">
        <v>3582</v>
      </c>
      <c r="K150" s="5">
        <v>33737</v>
      </c>
      <c r="L150" s="5">
        <v>33737</v>
      </c>
      <c r="M150">
        <v>0</v>
      </c>
      <c r="N150">
        <v>0</v>
      </c>
      <c r="O150">
        <v>0</v>
      </c>
      <c r="P150">
        <v>0</v>
      </c>
      <c r="Q150">
        <v>0</v>
      </c>
      <c r="R150">
        <v>0</v>
      </c>
      <c r="S150" s="5">
        <v>2467442</v>
      </c>
      <c r="T150">
        <v>0</v>
      </c>
      <c r="U150" s="5">
        <v>3315094</v>
      </c>
      <c r="V150">
        <v>1</v>
      </c>
      <c r="W150" s="5"/>
    </row>
    <row r="151" spans="1:23" x14ac:dyDescent="0.35">
      <c r="A151">
        <v>6920</v>
      </c>
      <c r="B151" t="s">
        <v>560</v>
      </c>
      <c r="C151" t="s">
        <v>969</v>
      </c>
      <c r="D151" t="s">
        <v>829</v>
      </c>
      <c r="F151" s="5">
        <v>188983</v>
      </c>
      <c r="G151" s="5">
        <v>188983</v>
      </c>
      <c r="H151">
        <v>0</v>
      </c>
      <c r="I151" s="5">
        <v>2619</v>
      </c>
      <c r="J151">
        <v>0</v>
      </c>
      <c r="O151">
        <v>0</v>
      </c>
      <c r="R151">
        <v>0</v>
      </c>
      <c r="U151" s="5">
        <v>373571</v>
      </c>
      <c r="V151">
        <v>1</v>
      </c>
    </row>
    <row r="152" spans="1:23" x14ac:dyDescent="0.35">
      <c r="A152">
        <v>6990</v>
      </c>
      <c r="B152" t="s">
        <v>561</v>
      </c>
      <c r="C152" t="s">
        <v>970</v>
      </c>
      <c r="D152" t="s">
        <v>829</v>
      </c>
      <c r="F152" s="5">
        <v>129781</v>
      </c>
      <c r="G152" s="5">
        <v>129781</v>
      </c>
      <c r="H152">
        <v>0</v>
      </c>
      <c r="I152">
        <v>0</v>
      </c>
      <c r="J152" s="5">
        <v>7210</v>
      </c>
      <c r="O152">
        <v>0</v>
      </c>
      <c r="R152">
        <v>0</v>
      </c>
      <c r="U152" s="5">
        <v>266226</v>
      </c>
      <c r="V152">
        <v>1</v>
      </c>
    </row>
    <row r="153" spans="1:23" x14ac:dyDescent="0.35">
      <c r="A153">
        <v>7080</v>
      </c>
      <c r="B153" t="s">
        <v>562</v>
      </c>
      <c r="C153" t="s">
        <v>971</v>
      </c>
      <c r="D153" t="s">
        <v>829</v>
      </c>
      <c r="F153" s="5">
        <v>149383</v>
      </c>
      <c r="G153" s="5">
        <v>149383</v>
      </c>
      <c r="H153">
        <v>0</v>
      </c>
      <c r="I153">
        <v>0</v>
      </c>
      <c r="J153" s="5">
        <v>18691</v>
      </c>
      <c r="O153">
        <v>0</v>
      </c>
      <c r="R153">
        <v>0</v>
      </c>
      <c r="U153" s="5">
        <v>289594</v>
      </c>
      <c r="V153">
        <v>1</v>
      </c>
    </row>
    <row r="154" spans="1:23" x14ac:dyDescent="0.35">
      <c r="A154">
        <v>7130</v>
      </c>
      <c r="B154" t="s">
        <v>563</v>
      </c>
      <c r="C154" t="s">
        <v>972</v>
      </c>
      <c r="D154" t="s">
        <v>829</v>
      </c>
      <c r="V154">
        <v>1</v>
      </c>
    </row>
    <row r="155" spans="1:23" x14ac:dyDescent="0.35">
      <c r="A155">
        <v>7200</v>
      </c>
      <c r="B155" t="s">
        <v>564</v>
      </c>
      <c r="C155" t="s">
        <v>973</v>
      </c>
      <c r="D155" t="s">
        <v>829</v>
      </c>
      <c r="E155" s="5">
        <v>1273180</v>
      </c>
      <c r="F155" s="5">
        <v>410200</v>
      </c>
      <c r="G155" s="5">
        <v>410200</v>
      </c>
      <c r="H155">
        <v>0</v>
      </c>
      <c r="I155">
        <v>0</v>
      </c>
      <c r="K155" s="5">
        <v>15717</v>
      </c>
      <c r="L155" s="5">
        <v>15717</v>
      </c>
      <c r="M155">
        <v>0</v>
      </c>
      <c r="N155">
        <v>0</v>
      </c>
      <c r="O155">
        <v>0</v>
      </c>
      <c r="P155">
        <v>0</v>
      </c>
      <c r="Q155">
        <v>0</v>
      </c>
      <c r="R155">
        <v>0</v>
      </c>
      <c r="U155" s="5">
        <v>1105097</v>
      </c>
      <c r="V155">
        <v>1</v>
      </c>
    </row>
    <row r="156" spans="1:23" x14ac:dyDescent="0.35">
      <c r="A156">
        <v>7202</v>
      </c>
      <c r="B156" t="s">
        <v>565</v>
      </c>
      <c r="C156" t="s">
        <v>974</v>
      </c>
      <c r="D156" t="s">
        <v>829</v>
      </c>
      <c r="E156" s="5">
        <v>789480</v>
      </c>
      <c r="F156" s="5">
        <v>286179</v>
      </c>
      <c r="G156" s="5">
        <v>286179</v>
      </c>
      <c r="H156">
        <v>0</v>
      </c>
      <c r="I156">
        <v>0</v>
      </c>
      <c r="K156" s="5">
        <v>6000</v>
      </c>
      <c r="L156" s="5">
        <v>6000</v>
      </c>
      <c r="M156">
        <v>0</v>
      </c>
      <c r="N156">
        <v>0</v>
      </c>
      <c r="O156">
        <v>0</v>
      </c>
      <c r="P156">
        <v>0</v>
      </c>
      <c r="Q156">
        <v>0</v>
      </c>
      <c r="R156">
        <v>0</v>
      </c>
      <c r="U156" s="5">
        <v>686093</v>
      </c>
      <c r="V156">
        <v>1</v>
      </c>
    </row>
    <row r="157" spans="1:23" x14ac:dyDescent="0.35">
      <c r="A157">
        <v>7280</v>
      </c>
      <c r="B157" t="s">
        <v>566</v>
      </c>
      <c r="C157" t="s">
        <v>975</v>
      </c>
      <c r="D157" t="s">
        <v>829</v>
      </c>
      <c r="F157" s="5">
        <v>76412</v>
      </c>
      <c r="G157" s="5">
        <v>76412</v>
      </c>
      <c r="H157">
        <v>0</v>
      </c>
      <c r="I157">
        <v>0</v>
      </c>
      <c r="J157">
        <v>0</v>
      </c>
      <c r="O157">
        <v>0</v>
      </c>
      <c r="R157">
        <v>0</v>
      </c>
      <c r="U157" s="5">
        <v>204946</v>
      </c>
      <c r="V157">
        <v>1</v>
      </c>
      <c r="W157" s="5"/>
    </row>
    <row r="158" spans="1:23" x14ac:dyDescent="0.35">
      <c r="A158">
        <v>7320</v>
      </c>
      <c r="B158" t="s">
        <v>567</v>
      </c>
      <c r="C158" t="s">
        <v>976</v>
      </c>
      <c r="D158" t="s">
        <v>829</v>
      </c>
      <c r="F158" s="5">
        <v>213896</v>
      </c>
      <c r="G158" s="5">
        <v>213896</v>
      </c>
      <c r="H158">
        <v>0</v>
      </c>
      <c r="I158">
        <v>0</v>
      </c>
      <c r="J158">
        <v>0</v>
      </c>
      <c r="O158">
        <v>0</v>
      </c>
      <c r="R158">
        <v>0</v>
      </c>
      <c r="U158" s="5">
        <v>329500</v>
      </c>
      <c r="V158">
        <v>1</v>
      </c>
      <c r="W158" s="5"/>
    </row>
    <row r="159" spans="1:23" x14ac:dyDescent="0.35">
      <c r="A159">
        <v>7330</v>
      </c>
      <c r="B159" t="s">
        <v>568</v>
      </c>
      <c r="C159" t="s">
        <v>977</v>
      </c>
      <c r="D159" t="s">
        <v>829</v>
      </c>
      <c r="F159" s="5">
        <v>431860</v>
      </c>
      <c r="G159" s="5">
        <v>431860</v>
      </c>
      <c r="H159">
        <v>0</v>
      </c>
      <c r="I159">
        <v>0</v>
      </c>
      <c r="J159" s="5">
        <v>21688</v>
      </c>
      <c r="O159">
        <v>0</v>
      </c>
      <c r="R159">
        <v>0</v>
      </c>
      <c r="U159" s="5">
        <v>925339</v>
      </c>
      <c r="V159">
        <v>1</v>
      </c>
    </row>
    <row r="160" spans="1:23" x14ac:dyDescent="0.35">
      <c r="A160">
        <v>7400</v>
      </c>
      <c r="B160" t="s">
        <v>569</v>
      </c>
      <c r="C160" t="s">
        <v>978</v>
      </c>
      <c r="D160" t="s">
        <v>829</v>
      </c>
      <c r="E160" s="5">
        <v>3404483</v>
      </c>
      <c r="F160" s="5">
        <v>1248489</v>
      </c>
      <c r="G160" s="5">
        <v>1248489</v>
      </c>
      <c r="H160">
        <v>0</v>
      </c>
      <c r="I160">
        <v>0</v>
      </c>
      <c r="K160">
        <v>0</v>
      </c>
      <c r="M160">
        <v>0</v>
      </c>
      <c r="N160">
        <v>0</v>
      </c>
      <c r="O160">
        <v>0</v>
      </c>
      <c r="P160">
        <v>0</v>
      </c>
      <c r="Q160">
        <v>0</v>
      </c>
      <c r="R160">
        <v>0</v>
      </c>
      <c r="S160">
        <v>0</v>
      </c>
      <c r="T160">
        <v>0</v>
      </c>
      <c r="U160" s="5">
        <v>3022327</v>
      </c>
      <c r="V160">
        <v>1</v>
      </c>
    </row>
    <row r="161" spans="1:23" x14ac:dyDescent="0.35">
      <c r="A161">
        <v>7402</v>
      </c>
      <c r="B161" t="s">
        <v>570</v>
      </c>
      <c r="C161" t="s">
        <v>979</v>
      </c>
      <c r="D161" t="s">
        <v>829</v>
      </c>
      <c r="F161" s="5">
        <v>84602</v>
      </c>
      <c r="G161" s="5">
        <v>84602</v>
      </c>
      <c r="H161">
        <v>0</v>
      </c>
      <c r="I161">
        <v>0</v>
      </c>
      <c r="J161" s="5">
        <v>20000</v>
      </c>
      <c r="O161">
        <v>0</v>
      </c>
      <c r="R161">
        <v>0</v>
      </c>
      <c r="U161" s="5">
        <v>239644</v>
      </c>
      <c r="V161">
        <v>1</v>
      </c>
    </row>
    <row r="162" spans="1:23" x14ac:dyDescent="0.35">
      <c r="A162">
        <v>7404</v>
      </c>
      <c r="B162" t="s">
        <v>571</v>
      </c>
      <c r="C162" t="s">
        <v>980</v>
      </c>
      <c r="D162" t="s">
        <v>829</v>
      </c>
      <c r="F162" s="5">
        <v>159061</v>
      </c>
      <c r="G162" s="5">
        <v>159061</v>
      </c>
      <c r="H162">
        <v>0</v>
      </c>
      <c r="I162">
        <v>0</v>
      </c>
      <c r="J162" s="5">
        <v>8703</v>
      </c>
      <c r="O162">
        <v>0</v>
      </c>
      <c r="R162">
        <v>0</v>
      </c>
      <c r="U162" s="5">
        <v>254251</v>
      </c>
      <c r="V162">
        <v>1</v>
      </c>
      <c r="W162" s="5"/>
    </row>
    <row r="163" spans="1:23" x14ac:dyDescent="0.35">
      <c r="A163">
        <v>7430</v>
      </c>
      <c r="B163" t="s">
        <v>572</v>
      </c>
      <c r="C163" t="s">
        <v>981</v>
      </c>
      <c r="D163" t="s">
        <v>829</v>
      </c>
      <c r="F163" s="5">
        <v>303140</v>
      </c>
      <c r="G163" s="5">
        <v>303140</v>
      </c>
      <c r="K163" s="5">
        <v>19959</v>
      </c>
      <c r="L163" s="5">
        <v>19959</v>
      </c>
      <c r="U163" s="5">
        <v>815196</v>
      </c>
      <c r="V163">
        <v>1</v>
      </c>
    </row>
    <row r="164" spans="1:23" x14ac:dyDescent="0.35">
      <c r="A164">
        <v>7440</v>
      </c>
      <c r="B164" t="s">
        <v>573</v>
      </c>
      <c r="C164" t="s">
        <v>982</v>
      </c>
      <c r="D164" t="s">
        <v>829</v>
      </c>
      <c r="F164" s="5">
        <v>152206</v>
      </c>
      <c r="G164" s="5">
        <v>152206</v>
      </c>
      <c r="H164">
        <v>0</v>
      </c>
      <c r="I164">
        <v>0</v>
      </c>
      <c r="J164" s="5">
        <v>6300</v>
      </c>
      <c r="O164">
        <v>0</v>
      </c>
      <c r="R164">
        <v>0</v>
      </c>
      <c r="U164" s="5">
        <v>260439</v>
      </c>
      <c r="V164">
        <v>1</v>
      </c>
    </row>
    <row r="165" spans="1:23" x14ac:dyDescent="0.35">
      <c r="A165">
        <v>7450</v>
      </c>
      <c r="B165" t="s">
        <v>574</v>
      </c>
      <c r="C165" t="s">
        <v>983</v>
      </c>
      <c r="D165" t="s">
        <v>829</v>
      </c>
      <c r="V165">
        <v>1</v>
      </c>
    </row>
    <row r="166" spans="1:23" x14ac:dyDescent="0.35">
      <c r="A166">
        <v>7480</v>
      </c>
      <c r="B166" t="s">
        <v>575</v>
      </c>
      <c r="C166" t="s">
        <v>984</v>
      </c>
      <c r="D166" t="s">
        <v>829</v>
      </c>
      <c r="F166" s="5">
        <v>255319</v>
      </c>
      <c r="G166" s="5">
        <v>255319</v>
      </c>
      <c r="H166">
        <v>0</v>
      </c>
      <c r="I166">
        <v>0</v>
      </c>
      <c r="J166">
        <v>0</v>
      </c>
      <c r="O166">
        <v>0</v>
      </c>
      <c r="R166">
        <v>0</v>
      </c>
      <c r="U166" s="5">
        <v>576965</v>
      </c>
      <c r="V166">
        <v>1</v>
      </c>
    </row>
    <row r="167" spans="1:23" x14ac:dyDescent="0.35">
      <c r="A167">
        <v>7490</v>
      </c>
      <c r="B167" t="s">
        <v>576</v>
      </c>
      <c r="C167" t="s">
        <v>985</v>
      </c>
      <c r="D167" t="s">
        <v>829</v>
      </c>
      <c r="F167" s="5">
        <v>155315</v>
      </c>
      <c r="G167" s="5">
        <v>155315</v>
      </c>
      <c r="H167">
        <v>0</v>
      </c>
      <c r="I167">
        <v>0</v>
      </c>
      <c r="J167">
        <v>0</v>
      </c>
      <c r="O167">
        <v>0</v>
      </c>
      <c r="R167">
        <v>0</v>
      </c>
      <c r="U167" s="5">
        <v>288813</v>
      </c>
      <c r="V167">
        <v>1</v>
      </c>
      <c r="W167" s="5"/>
    </row>
    <row r="168" spans="1:23" x14ac:dyDescent="0.35">
      <c r="A168">
        <v>7500</v>
      </c>
      <c r="B168" t="s">
        <v>577</v>
      </c>
      <c r="C168" t="s">
        <v>986</v>
      </c>
      <c r="D168" t="s">
        <v>829</v>
      </c>
      <c r="E168" s="5">
        <v>3580737</v>
      </c>
      <c r="F168" s="5">
        <v>1560339</v>
      </c>
      <c r="G168" s="5">
        <v>1560339</v>
      </c>
      <c r="H168">
        <v>0</v>
      </c>
      <c r="I168">
        <v>0</v>
      </c>
      <c r="K168" s="5">
        <v>31118</v>
      </c>
      <c r="L168" s="5">
        <v>31118</v>
      </c>
      <c r="M168">
        <v>0</v>
      </c>
      <c r="N168">
        <v>0</v>
      </c>
      <c r="O168">
        <v>0</v>
      </c>
      <c r="P168">
        <v>0</v>
      </c>
      <c r="Q168">
        <v>0</v>
      </c>
      <c r="R168">
        <v>0</v>
      </c>
      <c r="S168">
        <v>0</v>
      </c>
      <c r="T168">
        <v>0</v>
      </c>
      <c r="U168" s="5">
        <v>3297381</v>
      </c>
      <c r="V168">
        <v>1</v>
      </c>
    </row>
    <row r="169" spans="1:23" x14ac:dyDescent="0.35">
      <c r="A169">
        <v>7600</v>
      </c>
      <c r="B169" t="s">
        <v>578</v>
      </c>
      <c r="C169" t="s">
        <v>987</v>
      </c>
      <c r="D169" t="s">
        <v>829</v>
      </c>
      <c r="E169" s="5">
        <v>1119765</v>
      </c>
      <c r="F169" s="5">
        <v>559902</v>
      </c>
      <c r="G169" s="5">
        <v>559902</v>
      </c>
      <c r="H169" s="5">
        <v>2023</v>
      </c>
      <c r="I169" s="5">
        <v>73063</v>
      </c>
      <c r="K169" s="5">
        <v>14437</v>
      </c>
      <c r="L169" s="5">
        <v>14437</v>
      </c>
      <c r="M169">
        <v>0</v>
      </c>
      <c r="N169">
        <v>0</v>
      </c>
      <c r="O169">
        <v>0</v>
      </c>
      <c r="P169">
        <v>0</v>
      </c>
      <c r="Q169">
        <v>0</v>
      </c>
      <c r="R169">
        <v>0</v>
      </c>
      <c r="S169">
        <v>0</v>
      </c>
      <c r="T169">
        <v>0</v>
      </c>
      <c r="U169" s="5">
        <v>957326</v>
      </c>
      <c r="V169">
        <v>1</v>
      </c>
    </row>
    <row r="170" spans="1:23" x14ac:dyDescent="0.35">
      <c r="A170">
        <v>7620</v>
      </c>
      <c r="B170" t="s">
        <v>579</v>
      </c>
      <c r="C170" t="s">
        <v>988</v>
      </c>
      <c r="D170" t="s">
        <v>829</v>
      </c>
      <c r="E170" s="5">
        <v>2023713</v>
      </c>
      <c r="F170" s="5">
        <v>1046502</v>
      </c>
      <c r="G170" s="5">
        <v>1046502</v>
      </c>
      <c r="H170">
        <v>0</v>
      </c>
      <c r="I170">
        <v>0</v>
      </c>
      <c r="K170">
        <v>0</v>
      </c>
      <c r="L170">
        <v>0</v>
      </c>
      <c r="M170">
        <v>0</v>
      </c>
      <c r="N170">
        <v>0</v>
      </c>
      <c r="O170">
        <v>0</v>
      </c>
      <c r="P170">
        <v>0</v>
      </c>
      <c r="Q170">
        <v>0</v>
      </c>
      <c r="R170" s="5">
        <v>34000</v>
      </c>
      <c r="S170">
        <v>0</v>
      </c>
      <c r="T170">
        <v>0</v>
      </c>
      <c r="U170" s="5">
        <v>1885428</v>
      </c>
      <c r="V170">
        <v>1</v>
      </c>
      <c r="W170" s="5"/>
    </row>
    <row r="171" spans="1:23" x14ac:dyDescent="0.35">
      <c r="A171">
        <v>7760</v>
      </c>
      <c r="B171" t="s">
        <v>580</v>
      </c>
      <c r="C171" t="s">
        <v>989</v>
      </c>
      <c r="D171" t="s">
        <v>829</v>
      </c>
      <c r="E171" s="5">
        <v>3211863</v>
      </c>
      <c r="F171" s="5">
        <v>1207261</v>
      </c>
      <c r="G171" s="5">
        <v>1207261</v>
      </c>
      <c r="H171">
        <v>0</v>
      </c>
      <c r="I171">
        <v>0</v>
      </c>
      <c r="K171" s="5">
        <v>46652</v>
      </c>
      <c r="L171" s="5">
        <v>46652</v>
      </c>
      <c r="M171">
        <v>0</v>
      </c>
      <c r="N171">
        <v>0</v>
      </c>
      <c r="O171">
        <v>0</v>
      </c>
      <c r="P171">
        <v>0</v>
      </c>
      <c r="Q171">
        <v>0</v>
      </c>
      <c r="R171">
        <v>0</v>
      </c>
      <c r="S171">
        <v>0</v>
      </c>
      <c r="T171">
        <v>0</v>
      </c>
      <c r="U171" s="5">
        <v>2981316</v>
      </c>
      <c r="V171">
        <v>1</v>
      </c>
    </row>
    <row r="172" spans="1:23" x14ac:dyDescent="0.35">
      <c r="A172">
        <v>7762</v>
      </c>
      <c r="B172" t="s">
        <v>581</v>
      </c>
      <c r="C172" t="s">
        <v>990</v>
      </c>
      <c r="D172" t="s">
        <v>829</v>
      </c>
      <c r="F172" s="5">
        <v>211444</v>
      </c>
      <c r="G172" s="5">
        <v>211444</v>
      </c>
      <c r="H172">
        <v>0</v>
      </c>
      <c r="I172">
        <v>0</v>
      </c>
      <c r="J172" s="5">
        <v>7200</v>
      </c>
      <c r="O172">
        <v>0</v>
      </c>
      <c r="R172">
        <v>0</v>
      </c>
      <c r="U172" s="5">
        <v>400085</v>
      </c>
      <c r="V172">
        <v>1</v>
      </c>
    </row>
    <row r="173" spans="1:23" x14ac:dyDescent="0.35">
      <c r="A173">
        <v>7870</v>
      </c>
      <c r="B173" t="s">
        <v>582</v>
      </c>
      <c r="C173" t="s">
        <v>991</v>
      </c>
      <c r="D173" t="s">
        <v>829</v>
      </c>
      <c r="E173" s="5">
        <v>2600917</v>
      </c>
      <c r="F173" s="5">
        <v>1283124</v>
      </c>
      <c r="G173" s="5">
        <v>1283124</v>
      </c>
      <c r="H173">
        <v>0</v>
      </c>
      <c r="I173" s="5">
        <v>5814</v>
      </c>
      <c r="K173">
        <v>0</v>
      </c>
      <c r="L173">
        <v>0</v>
      </c>
      <c r="M173">
        <v>0</v>
      </c>
      <c r="N173">
        <v>0</v>
      </c>
      <c r="O173">
        <v>0</v>
      </c>
      <c r="P173">
        <v>0</v>
      </c>
      <c r="Q173">
        <v>0</v>
      </c>
      <c r="R173">
        <v>0</v>
      </c>
      <c r="S173">
        <v>0</v>
      </c>
      <c r="T173">
        <v>0</v>
      </c>
      <c r="U173" s="5">
        <v>2488918</v>
      </c>
      <c r="V173">
        <v>1</v>
      </c>
    </row>
    <row r="174" spans="1:23" x14ac:dyDescent="0.35">
      <c r="A174">
        <v>7900</v>
      </c>
      <c r="B174" t="s">
        <v>583</v>
      </c>
      <c r="C174" t="s">
        <v>992</v>
      </c>
      <c r="D174" t="s">
        <v>829</v>
      </c>
      <c r="E174" s="5">
        <v>557859</v>
      </c>
      <c r="F174" s="5">
        <v>149687</v>
      </c>
      <c r="G174" s="5">
        <v>149687</v>
      </c>
      <c r="H174" s="5">
        <v>1677</v>
      </c>
      <c r="I174" s="5">
        <v>30460</v>
      </c>
      <c r="K174">
        <v>0</v>
      </c>
      <c r="L174">
        <v>0</v>
      </c>
      <c r="M174">
        <v>0</v>
      </c>
      <c r="N174">
        <v>0</v>
      </c>
      <c r="O174">
        <v>0</v>
      </c>
      <c r="P174">
        <v>0</v>
      </c>
      <c r="Q174">
        <v>0</v>
      </c>
      <c r="R174">
        <v>0</v>
      </c>
      <c r="S174">
        <v>0</v>
      </c>
      <c r="T174">
        <v>0</v>
      </c>
      <c r="U174" s="5">
        <v>478192</v>
      </c>
      <c r="V174">
        <v>1</v>
      </c>
    </row>
    <row r="175" spans="1:23" x14ac:dyDescent="0.35">
      <c r="A175">
        <v>8210</v>
      </c>
      <c r="B175" t="s">
        <v>584</v>
      </c>
      <c r="C175" t="s">
        <v>993</v>
      </c>
      <c r="D175" t="s">
        <v>829</v>
      </c>
      <c r="E175" s="5">
        <v>15638764</v>
      </c>
      <c r="F175" s="5">
        <v>7408247</v>
      </c>
      <c r="G175" s="5">
        <v>7408247</v>
      </c>
      <c r="H175">
        <v>0</v>
      </c>
      <c r="I175" s="5">
        <v>20000</v>
      </c>
      <c r="K175" s="5">
        <v>234435</v>
      </c>
      <c r="L175" s="5">
        <v>234435</v>
      </c>
      <c r="M175">
        <v>0</v>
      </c>
      <c r="N175">
        <v>0</v>
      </c>
      <c r="O175">
        <v>0</v>
      </c>
      <c r="P175">
        <v>0</v>
      </c>
      <c r="Q175">
        <v>0</v>
      </c>
      <c r="R175">
        <v>0</v>
      </c>
      <c r="U175" s="5">
        <v>14071548</v>
      </c>
      <c r="V175">
        <v>1</v>
      </c>
    </row>
    <row r="176" spans="1:23" x14ac:dyDescent="0.35">
      <c r="A176">
        <v>8250</v>
      </c>
      <c r="B176" t="s">
        <v>585</v>
      </c>
      <c r="C176" t="s">
        <v>994</v>
      </c>
      <c r="D176" t="s">
        <v>829</v>
      </c>
      <c r="F176" s="5">
        <v>129831</v>
      </c>
      <c r="G176" s="5">
        <v>129831</v>
      </c>
      <c r="H176">
        <v>0</v>
      </c>
      <c r="I176">
        <v>0</v>
      </c>
      <c r="J176" s="5">
        <v>16788</v>
      </c>
      <c r="O176">
        <v>0</v>
      </c>
      <c r="R176">
        <v>0</v>
      </c>
      <c r="U176" s="5">
        <v>301145</v>
      </c>
      <c r="V176">
        <v>1</v>
      </c>
      <c r="W176" s="5"/>
    </row>
    <row r="177" spans="1:23" x14ac:dyDescent="0.35">
      <c r="A177">
        <v>8300</v>
      </c>
      <c r="B177" t="s">
        <v>586</v>
      </c>
      <c r="C177" t="s">
        <v>995</v>
      </c>
      <c r="D177" t="s">
        <v>829</v>
      </c>
      <c r="E177" s="5">
        <v>960703</v>
      </c>
      <c r="F177" s="5">
        <v>404858</v>
      </c>
      <c r="G177" s="5">
        <v>404858</v>
      </c>
      <c r="H177">
        <v>0</v>
      </c>
      <c r="I177">
        <v>0</v>
      </c>
      <c r="K177" s="5">
        <v>65810</v>
      </c>
      <c r="L177" s="5">
        <v>65810</v>
      </c>
      <c r="M177">
        <v>0</v>
      </c>
      <c r="N177">
        <v>0</v>
      </c>
      <c r="O177">
        <v>0</v>
      </c>
      <c r="P177">
        <v>0</v>
      </c>
      <c r="Q177">
        <v>0</v>
      </c>
      <c r="R177">
        <v>0</v>
      </c>
      <c r="S177">
        <v>0</v>
      </c>
      <c r="T177">
        <v>0</v>
      </c>
      <c r="U177" s="5">
        <v>894516</v>
      </c>
      <c r="V177">
        <v>1</v>
      </c>
    </row>
    <row r="178" spans="1:23" x14ac:dyDescent="0.35">
      <c r="A178">
        <v>8360</v>
      </c>
      <c r="B178" t="s">
        <v>587</v>
      </c>
      <c r="C178" t="s">
        <v>996</v>
      </c>
      <c r="D178" t="s">
        <v>829</v>
      </c>
      <c r="F178" s="5">
        <v>258444</v>
      </c>
      <c r="G178" s="5">
        <v>258444</v>
      </c>
      <c r="H178">
        <v>0</v>
      </c>
      <c r="I178">
        <v>0</v>
      </c>
      <c r="J178" s="5">
        <v>14266</v>
      </c>
      <c r="O178">
        <v>0</v>
      </c>
      <c r="R178">
        <v>0</v>
      </c>
      <c r="U178" s="5">
        <v>371251</v>
      </c>
      <c r="V178">
        <v>1</v>
      </c>
    </row>
    <row r="179" spans="1:23" x14ac:dyDescent="0.35">
      <c r="A179">
        <v>8362</v>
      </c>
      <c r="B179" t="s">
        <v>588</v>
      </c>
      <c r="C179" t="s">
        <v>997</v>
      </c>
      <c r="D179" t="s">
        <v>829</v>
      </c>
      <c r="F179" s="5">
        <v>177085</v>
      </c>
      <c r="G179" s="5">
        <v>177085</v>
      </c>
      <c r="H179">
        <v>0</v>
      </c>
      <c r="I179">
        <v>0</v>
      </c>
      <c r="J179">
        <v>0</v>
      </c>
      <c r="O179">
        <v>0</v>
      </c>
      <c r="R179">
        <v>0</v>
      </c>
      <c r="U179" s="5">
        <v>244495</v>
      </c>
      <c r="V179">
        <v>1</v>
      </c>
    </row>
    <row r="180" spans="1:23" x14ac:dyDescent="0.35">
      <c r="A180">
        <v>8370</v>
      </c>
      <c r="B180" t="s">
        <v>589</v>
      </c>
      <c r="C180" t="s">
        <v>998</v>
      </c>
      <c r="D180" t="s">
        <v>829</v>
      </c>
      <c r="F180" s="5">
        <v>226569</v>
      </c>
      <c r="G180" s="5">
        <v>226569</v>
      </c>
      <c r="H180">
        <v>0</v>
      </c>
      <c r="I180">
        <v>0</v>
      </c>
      <c r="J180" s="5">
        <v>2750</v>
      </c>
      <c r="O180">
        <v>0</v>
      </c>
      <c r="R180">
        <v>0</v>
      </c>
      <c r="U180" s="5">
        <v>528255</v>
      </c>
      <c r="V180">
        <v>1</v>
      </c>
      <c r="W180" s="5"/>
    </row>
    <row r="181" spans="1:23" x14ac:dyDescent="0.35">
      <c r="A181">
        <v>8380</v>
      </c>
      <c r="B181" t="s">
        <v>590</v>
      </c>
      <c r="C181" t="s">
        <v>999</v>
      </c>
      <c r="D181" t="s">
        <v>829</v>
      </c>
      <c r="F181" s="5">
        <v>187174</v>
      </c>
      <c r="G181" s="5">
        <v>187174</v>
      </c>
      <c r="H181" s="5">
        <v>1560</v>
      </c>
      <c r="I181" s="5">
        <v>21000</v>
      </c>
      <c r="J181">
        <v>0</v>
      </c>
      <c r="O181">
        <v>0</v>
      </c>
      <c r="R181">
        <v>0</v>
      </c>
      <c r="U181" s="5">
        <v>337599</v>
      </c>
      <c r="V181">
        <v>1</v>
      </c>
      <c r="W181" s="5"/>
    </row>
    <row r="182" spans="1:23" x14ac:dyDescent="0.35">
      <c r="A182">
        <v>8382</v>
      </c>
      <c r="B182" t="s">
        <v>591</v>
      </c>
      <c r="C182" t="s">
        <v>1000</v>
      </c>
      <c r="D182" t="s">
        <v>829</v>
      </c>
      <c r="V182">
        <v>1</v>
      </c>
    </row>
    <row r="183" spans="1:23" x14ac:dyDescent="0.35">
      <c r="A183">
        <v>8400</v>
      </c>
      <c r="B183" t="s">
        <v>592</v>
      </c>
      <c r="C183" t="s">
        <v>1001</v>
      </c>
      <c r="D183" t="s">
        <v>829</v>
      </c>
      <c r="U183" s="5">
        <v>375287</v>
      </c>
      <c r="V183">
        <v>1</v>
      </c>
    </row>
    <row r="184" spans="1:23" x14ac:dyDescent="0.35">
      <c r="A184">
        <v>8450</v>
      </c>
      <c r="B184" t="s">
        <v>593</v>
      </c>
      <c r="C184" t="s">
        <v>1002</v>
      </c>
      <c r="D184" t="s">
        <v>829</v>
      </c>
      <c r="F184" s="5">
        <v>231542</v>
      </c>
      <c r="G184" s="5">
        <v>231542</v>
      </c>
      <c r="H184" s="5">
        <v>6731</v>
      </c>
      <c r="I184" s="5">
        <v>52151</v>
      </c>
      <c r="J184" s="5">
        <v>13730</v>
      </c>
      <c r="O184">
        <v>0</v>
      </c>
      <c r="R184">
        <v>0</v>
      </c>
      <c r="U184" s="5">
        <v>403350</v>
      </c>
      <c r="V184">
        <v>1</v>
      </c>
    </row>
    <row r="185" spans="1:23" x14ac:dyDescent="0.35">
      <c r="A185">
        <v>8460</v>
      </c>
      <c r="B185" t="s">
        <v>594</v>
      </c>
      <c r="C185" t="s">
        <v>1003</v>
      </c>
      <c r="D185" t="s">
        <v>829</v>
      </c>
      <c r="F185" s="5">
        <v>191271</v>
      </c>
      <c r="G185" s="5">
        <v>191271</v>
      </c>
      <c r="H185">
        <v>0</v>
      </c>
      <c r="I185">
        <v>0</v>
      </c>
      <c r="J185">
        <v>0</v>
      </c>
      <c r="O185">
        <v>0</v>
      </c>
      <c r="R185">
        <v>0</v>
      </c>
      <c r="U185" s="5">
        <v>295060</v>
      </c>
      <c r="V185">
        <v>1</v>
      </c>
      <c r="W185" s="5"/>
    </row>
    <row r="186" spans="1:23" x14ac:dyDescent="0.35">
      <c r="A186">
        <v>8500</v>
      </c>
      <c r="B186" t="s">
        <v>595</v>
      </c>
      <c r="C186" t="s">
        <v>1004</v>
      </c>
      <c r="D186" t="s">
        <v>829</v>
      </c>
      <c r="F186" s="5">
        <v>696246</v>
      </c>
      <c r="G186" s="5">
        <v>696246</v>
      </c>
      <c r="H186">
        <v>0</v>
      </c>
      <c r="I186" s="5">
        <v>27050</v>
      </c>
      <c r="J186" s="5">
        <v>61000</v>
      </c>
      <c r="O186">
        <v>0</v>
      </c>
      <c r="R186">
        <v>0</v>
      </c>
      <c r="U186" s="5">
        <v>1525413</v>
      </c>
      <c r="V186">
        <v>1</v>
      </c>
    </row>
    <row r="187" spans="1:23" x14ac:dyDescent="0.35">
      <c r="A187">
        <v>8502</v>
      </c>
      <c r="B187" t="s">
        <v>596</v>
      </c>
      <c r="C187" t="s">
        <v>1005</v>
      </c>
      <c r="D187" t="s">
        <v>829</v>
      </c>
      <c r="F187" s="5">
        <v>34760</v>
      </c>
      <c r="G187" s="5">
        <v>34760</v>
      </c>
      <c r="H187">
        <v>0</v>
      </c>
      <c r="I187">
        <v>0</v>
      </c>
      <c r="J187">
        <v>0</v>
      </c>
      <c r="O187">
        <v>0</v>
      </c>
      <c r="R187">
        <v>0</v>
      </c>
      <c r="U187" s="5">
        <v>478763</v>
      </c>
      <c r="V187">
        <v>1</v>
      </c>
    </row>
    <row r="188" spans="1:23" x14ac:dyDescent="0.35">
      <c r="A188">
        <v>8540</v>
      </c>
      <c r="B188" t="s">
        <v>597</v>
      </c>
      <c r="C188" t="s">
        <v>1006</v>
      </c>
      <c r="D188" t="s">
        <v>829</v>
      </c>
      <c r="V188">
        <v>1</v>
      </c>
      <c r="W188" s="5"/>
    </row>
    <row r="189" spans="1:23" x14ac:dyDescent="0.35">
      <c r="A189">
        <v>8542</v>
      </c>
      <c r="B189" t="s">
        <v>598</v>
      </c>
      <c r="C189" t="s">
        <v>1007</v>
      </c>
      <c r="D189" t="s">
        <v>829</v>
      </c>
      <c r="V189">
        <v>1</v>
      </c>
      <c r="W189" s="5"/>
    </row>
    <row r="190" spans="1:23" x14ac:dyDescent="0.35">
      <c r="A190">
        <v>8600</v>
      </c>
      <c r="B190" t="s">
        <v>599</v>
      </c>
      <c r="C190" t="s">
        <v>1008</v>
      </c>
      <c r="D190" t="s">
        <v>829</v>
      </c>
      <c r="E190" s="5">
        <v>2870633</v>
      </c>
      <c r="F190" s="5">
        <v>1135921</v>
      </c>
      <c r="G190" s="5">
        <v>1135921</v>
      </c>
      <c r="H190">
        <v>0</v>
      </c>
      <c r="I190" s="5">
        <v>1886</v>
      </c>
      <c r="K190" s="5">
        <v>73456</v>
      </c>
      <c r="L190" s="5">
        <v>73456</v>
      </c>
      <c r="M190">
        <v>0</v>
      </c>
      <c r="N190">
        <v>0</v>
      </c>
      <c r="O190">
        <v>0</v>
      </c>
      <c r="P190">
        <v>0</v>
      </c>
      <c r="Q190">
        <v>0</v>
      </c>
      <c r="R190">
        <v>0</v>
      </c>
      <c r="U190" s="5">
        <v>2659553</v>
      </c>
      <c r="V190">
        <v>1</v>
      </c>
    </row>
    <row r="191" spans="1:23" x14ac:dyDescent="0.35">
      <c r="A191">
        <v>8610</v>
      </c>
      <c r="B191" t="s">
        <v>600</v>
      </c>
      <c r="C191" t="s">
        <v>1009</v>
      </c>
      <c r="D191" t="s">
        <v>829</v>
      </c>
      <c r="F191" s="5">
        <v>216949</v>
      </c>
      <c r="G191" s="5">
        <v>216949</v>
      </c>
      <c r="H191">
        <v>0</v>
      </c>
      <c r="I191">
        <v>0</v>
      </c>
      <c r="J191">
        <v>0</v>
      </c>
      <c r="O191">
        <v>0</v>
      </c>
      <c r="R191">
        <v>0</v>
      </c>
      <c r="U191" s="5">
        <v>219167</v>
      </c>
      <c r="V191">
        <v>1</v>
      </c>
    </row>
    <row r="192" spans="1:23" x14ac:dyDescent="0.35">
      <c r="A192">
        <v>8620</v>
      </c>
      <c r="B192" t="s">
        <v>601</v>
      </c>
      <c r="C192" t="s">
        <v>1010</v>
      </c>
      <c r="D192" t="s">
        <v>829</v>
      </c>
      <c r="V192">
        <v>1</v>
      </c>
      <c r="W192" s="5"/>
    </row>
    <row r="193" spans="1:23" x14ac:dyDescent="0.35">
      <c r="A193">
        <v>8660</v>
      </c>
      <c r="B193" t="s">
        <v>602</v>
      </c>
      <c r="C193" t="s">
        <v>1011</v>
      </c>
      <c r="D193" t="s">
        <v>829</v>
      </c>
      <c r="E193" s="5">
        <v>1172277</v>
      </c>
      <c r="F193" s="5">
        <v>644960</v>
      </c>
      <c r="G193" s="5">
        <v>644960</v>
      </c>
      <c r="H193">
        <v>0</v>
      </c>
      <c r="I193">
        <v>0</v>
      </c>
      <c r="K193" s="5">
        <v>32930</v>
      </c>
      <c r="L193" s="5">
        <v>32930</v>
      </c>
      <c r="U193" s="5">
        <v>1078735</v>
      </c>
      <c r="V193">
        <v>1</v>
      </c>
      <c r="W193" s="5"/>
    </row>
    <row r="194" spans="1:23" x14ac:dyDescent="0.35">
      <c r="A194">
        <v>8680</v>
      </c>
      <c r="B194" t="s">
        <v>603</v>
      </c>
      <c r="C194" t="s">
        <v>1012</v>
      </c>
      <c r="D194" t="s">
        <v>829</v>
      </c>
      <c r="F194" s="5">
        <v>254703</v>
      </c>
      <c r="G194" s="5">
        <v>254703</v>
      </c>
      <c r="H194">
        <v>0</v>
      </c>
      <c r="I194">
        <v>0</v>
      </c>
      <c r="J194">
        <v>0</v>
      </c>
      <c r="O194">
        <v>0</v>
      </c>
      <c r="R194">
        <v>0</v>
      </c>
      <c r="U194" s="5">
        <v>338611</v>
      </c>
      <c r="V194">
        <v>1</v>
      </c>
      <c r="W194" s="5"/>
    </row>
    <row r="195" spans="1:23" x14ac:dyDescent="0.35">
      <c r="A195">
        <v>8700</v>
      </c>
      <c r="B195" t="s">
        <v>604</v>
      </c>
      <c r="C195" t="s">
        <v>1013</v>
      </c>
      <c r="D195" t="s">
        <v>829</v>
      </c>
      <c r="E195" s="5">
        <v>4518291</v>
      </c>
      <c r="F195" s="5">
        <v>2492931</v>
      </c>
      <c r="G195" s="5">
        <v>2492931</v>
      </c>
      <c r="H195">
        <v>0</v>
      </c>
      <c r="I195">
        <v>0</v>
      </c>
      <c r="K195">
        <v>0</v>
      </c>
      <c r="L195">
        <v>0</v>
      </c>
      <c r="M195">
        <v>0</v>
      </c>
      <c r="N195">
        <v>0</v>
      </c>
      <c r="O195">
        <v>0</v>
      </c>
      <c r="P195">
        <v>0</v>
      </c>
      <c r="Q195">
        <v>0</v>
      </c>
      <c r="R195">
        <v>0</v>
      </c>
      <c r="S195">
        <v>0</v>
      </c>
      <c r="T195">
        <v>0</v>
      </c>
      <c r="U195" s="5">
        <v>4356308</v>
      </c>
      <c r="V195">
        <v>1</v>
      </c>
    </row>
    <row r="196" spans="1:23" x14ac:dyDescent="0.35">
      <c r="A196">
        <v>8722</v>
      </c>
      <c r="B196" t="s">
        <v>605</v>
      </c>
      <c r="C196" t="s">
        <v>1014</v>
      </c>
      <c r="D196" t="s">
        <v>829</v>
      </c>
      <c r="F196" s="5">
        <v>167126</v>
      </c>
      <c r="G196" s="5">
        <v>167126</v>
      </c>
      <c r="H196" s="5">
        <v>1245</v>
      </c>
      <c r="I196" s="5">
        <v>25293</v>
      </c>
      <c r="J196" s="5">
        <v>1995</v>
      </c>
      <c r="O196">
        <v>0</v>
      </c>
      <c r="R196">
        <v>0</v>
      </c>
      <c r="U196" s="5">
        <v>450133</v>
      </c>
      <c r="V196">
        <v>1</v>
      </c>
    </row>
    <row r="197" spans="1:23" x14ac:dyDescent="0.35">
      <c r="A197">
        <v>8740</v>
      </c>
      <c r="B197" t="s">
        <v>606</v>
      </c>
      <c r="C197" t="s">
        <v>1015</v>
      </c>
      <c r="D197" t="s">
        <v>829</v>
      </c>
      <c r="F197" s="5">
        <v>258277</v>
      </c>
      <c r="G197" s="5">
        <v>258277</v>
      </c>
      <c r="H197">
        <v>0</v>
      </c>
      <c r="I197" s="5">
        <v>19283</v>
      </c>
      <c r="J197">
        <v>0</v>
      </c>
      <c r="O197">
        <v>0</v>
      </c>
      <c r="R197">
        <v>0</v>
      </c>
      <c r="U197" s="5">
        <v>360522</v>
      </c>
      <c r="V197">
        <v>1</v>
      </c>
    </row>
    <row r="198" spans="1:23" x14ac:dyDescent="0.35">
      <c r="A198">
        <v>8800</v>
      </c>
      <c r="B198" t="s">
        <v>607</v>
      </c>
      <c r="C198" t="s">
        <v>1016</v>
      </c>
      <c r="D198" t="s">
        <v>829</v>
      </c>
      <c r="E198" s="5">
        <v>2510087</v>
      </c>
      <c r="F198" s="5">
        <v>1222053</v>
      </c>
      <c r="G198" s="5">
        <v>1222053</v>
      </c>
      <c r="H198">
        <v>0</v>
      </c>
      <c r="I198">
        <v>0</v>
      </c>
      <c r="K198" s="5">
        <v>71405</v>
      </c>
      <c r="L198">
        <v>0</v>
      </c>
      <c r="M198" s="5">
        <v>71405</v>
      </c>
      <c r="N198">
        <v>0</v>
      </c>
      <c r="O198">
        <v>0</v>
      </c>
      <c r="P198">
        <v>0</v>
      </c>
      <c r="Q198">
        <v>0</v>
      </c>
      <c r="R198">
        <v>0</v>
      </c>
      <c r="U198" s="5">
        <v>2311761</v>
      </c>
      <c r="V198">
        <v>1</v>
      </c>
    </row>
    <row r="199" spans="1:23" x14ac:dyDescent="0.35">
      <c r="A199">
        <v>8850</v>
      </c>
      <c r="B199" t="s">
        <v>608</v>
      </c>
      <c r="C199" t="s">
        <v>1017</v>
      </c>
      <c r="D199" t="s">
        <v>829</v>
      </c>
      <c r="F199" s="5">
        <v>335686</v>
      </c>
      <c r="G199" s="5">
        <v>335686</v>
      </c>
      <c r="H199">
        <v>0</v>
      </c>
      <c r="I199">
        <v>0</v>
      </c>
      <c r="J199">
        <v>0</v>
      </c>
      <c r="O199">
        <v>0</v>
      </c>
      <c r="R199">
        <v>0</v>
      </c>
      <c r="U199" s="5">
        <v>484597</v>
      </c>
      <c r="V199">
        <v>1</v>
      </c>
    </row>
    <row r="200" spans="1:23" x14ac:dyDescent="0.35">
      <c r="A200">
        <v>8900</v>
      </c>
      <c r="B200" t="s">
        <v>609</v>
      </c>
      <c r="C200" t="s">
        <v>1018</v>
      </c>
      <c r="D200" t="s">
        <v>829</v>
      </c>
      <c r="F200" s="5">
        <v>210111</v>
      </c>
      <c r="G200" s="5">
        <v>210111</v>
      </c>
      <c r="H200">
        <v>49</v>
      </c>
      <c r="I200">
        <v>0</v>
      </c>
      <c r="J200">
        <v>0</v>
      </c>
      <c r="O200">
        <v>0</v>
      </c>
      <c r="R200">
        <v>0</v>
      </c>
      <c r="U200" s="5">
        <v>329886</v>
      </c>
      <c r="V200">
        <v>1</v>
      </c>
      <c r="W200" s="5"/>
    </row>
    <row r="201" spans="1:23" x14ac:dyDescent="0.35">
      <c r="A201">
        <v>8902</v>
      </c>
      <c r="B201" t="s">
        <v>610</v>
      </c>
      <c r="C201" t="s">
        <v>1019</v>
      </c>
      <c r="D201" t="s">
        <v>829</v>
      </c>
      <c r="F201" s="5">
        <v>136757</v>
      </c>
      <c r="G201" s="5">
        <v>136757</v>
      </c>
      <c r="H201">
        <v>0</v>
      </c>
      <c r="I201">
        <v>0</v>
      </c>
      <c r="J201" s="5">
        <v>14001</v>
      </c>
      <c r="O201">
        <v>0</v>
      </c>
      <c r="R201">
        <v>0</v>
      </c>
      <c r="U201" s="5">
        <v>236984</v>
      </c>
      <c r="V201">
        <v>1</v>
      </c>
    </row>
    <row r="202" spans="1:23" x14ac:dyDescent="0.35">
      <c r="A202">
        <v>8920</v>
      </c>
      <c r="B202" t="s">
        <v>611</v>
      </c>
      <c r="C202" t="s">
        <v>1020</v>
      </c>
      <c r="D202" t="s">
        <v>829</v>
      </c>
      <c r="E202" s="5">
        <v>2465073</v>
      </c>
      <c r="F202" s="5">
        <v>1014929</v>
      </c>
      <c r="G202" s="5">
        <v>1014929</v>
      </c>
      <c r="H202">
        <v>922</v>
      </c>
      <c r="I202" s="5">
        <v>43842</v>
      </c>
      <c r="J202">
        <v>0</v>
      </c>
      <c r="K202">
        <v>56000</v>
      </c>
      <c r="L202">
        <v>56000</v>
      </c>
      <c r="M202">
        <v>0</v>
      </c>
      <c r="N202">
        <v>0</v>
      </c>
      <c r="O202">
        <v>0</v>
      </c>
      <c r="P202">
        <v>0</v>
      </c>
      <c r="Q202">
        <v>0</v>
      </c>
      <c r="R202">
        <v>0</v>
      </c>
      <c r="S202">
        <v>0</v>
      </c>
      <c r="T202">
        <v>0</v>
      </c>
      <c r="U202" s="5">
        <v>2304434</v>
      </c>
      <c r="V202">
        <v>1</v>
      </c>
      <c r="W202" s="5"/>
    </row>
    <row r="203" spans="1:23" x14ac:dyDescent="0.35">
      <c r="A203">
        <v>8950</v>
      </c>
      <c r="B203" t="s">
        <v>612</v>
      </c>
      <c r="C203" t="s">
        <v>1021</v>
      </c>
      <c r="D203" t="s">
        <v>829</v>
      </c>
      <c r="F203" s="5">
        <v>224207</v>
      </c>
      <c r="G203" s="5">
        <v>224207</v>
      </c>
      <c r="H203">
        <v>0</v>
      </c>
      <c r="I203" s="5">
        <v>14206</v>
      </c>
      <c r="J203">
        <v>0</v>
      </c>
      <c r="O203">
        <v>0</v>
      </c>
      <c r="R203">
        <v>0</v>
      </c>
      <c r="U203" s="5">
        <v>570817</v>
      </c>
      <c r="V203">
        <v>1</v>
      </c>
    </row>
    <row r="204" spans="1:23" x14ac:dyDescent="0.35">
      <c r="A204">
        <v>8960</v>
      </c>
      <c r="B204" t="s">
        <v>613</v>
      </c>
      <c r="C204" t="s">
        <v>1022</v>
      </c>
      <c r="D204" t="s">
        <v>829</v>
      </c>
      <c r="V204">
        <v>1</v>
      </c>
    </row>
    <row r="205" spans="1:23" x14ac:dyDescent="0.35">
      <c r="A205">
        <v>9000</v>
      </c>
      <c r="B205" t="s">
        <v>614</v>
      </c>
      <c r="C205" t="s">
        <v>1023</v>
      </c>
      <c r="D205" t="s">
        <v>829</v>
      </c>
      <c r="E205" s="5">
        <v>7283444</v>
      </c>
      <c r="F205" s="5">
        <v>2991686</v>
      </c>
      <c r="G205" s="5">
        <v>2991686</v>
      </c>
      <c r="H205">
        <v>0</v>
      </c>
      <c r="I205">
        <v>0</v>
      </c>
      <c r="K205" s="5">
        <v>431000</v>
      </c>
      <c r="L205" s="5">
        <v>431000</v>
      </c>
      <c r="M205">
        <v>0</v>
      </c>
      <c r="N205">
        <v>0</v>
      </c>
      <c r="O205">
        <v>0</v>
      </c>
      <c r="P205">
        <v>0</v>
      </c>
      <c r="Q205">
        <v>0</v>
      </c>
      <c r="R205">
        <v>0</v>
      </c>
      <c r="S205">
        <v>0</v>
      </c>
      <c r="T205">
        <v>0</v>
      </c>
      <c r="U205" s="5">
        <v>6792206</v>
      </c>
      <c r="V205">
        <v>1</v>
      </c>
    </row>
    <row r="206" spans="1:23" x14ac:dyDescent="0.35">
      <c r="A206">
        <v>9002</v>
      </c>
      <c r="B206" t="s">
        <v>615</v>
      </c>
      <c r="C206" t="s">
        <v>1024</v>
      </c>
      <c r="D206" t="s">
        <v>829</v>
      </c>
      <c r="V206">
        <v>1</v>
      </c>
    </row>
    <row r="207" spans="1:23" x14ac:dyDescent="0.35">
      <c r="A207">
        <v>9280</v>
      </c>
      <c r="B207" t="s">
        <v>616</v>
      </c>
      <c r="C207" t="s">
        <v>616</v>
      </c>
      <c r="D207" t="s">
        <v>829</v>
      </c>
      <c r="V207">
        <v>1</v>
      </c>
    </row>
    <row r="208" spans="1:23" x14ac:dyDescent="0.35">
      <c r="A208">
        <v>9310</v>
      </c>
      <c r="B208" t="s">
        <v>617</v>
      </c>
      <c r="C208" t="s">
        <v>1025</v>
      </c>
      <c r="D208" t="s">
        <v>829</v>
      </c>
      <c r="F208" s="5">
        <v>122519</v>
      </c>
      <c r="G208" s="5">
        <v>122519</v>
      </c>
      <c r="H208">
        <v>0</v>
      </c>
      <c r="I208">
        <v>0</v>
      </c>
      <c r="J208">
        <v>0</v>
      </c>
      <c r="O208">
        <v>0</v>
      </c>
      <c r="R208">
        <v>0</v>
      </c>
      <c r="U208" s="5">
        <v>217820</v>
      </c>
      <c r="V208">
        <v>1</v>
      </c>
    </row>
    <row r="209" spans="1:23" x14ac:dyDescent="0.35">
      <c r="A209">
        <v>9320</v>
      </c>
      <c r="B209" t="s">
        <v>618</v>
      </c>
      <c r="C209" t="s">
        <v>1026</v>
      </c>
      <c r="D209" t="s">
        <v>829</v>
      </c>
      <c r="F209" s="5">
        <v>122162</v>
      </c>
      <c r="G209" s="5">
        <v>122162</v>
      </c>
      <c r="H209">
        <v>0</v>
      </c>
      <c r="I209">
        <v>0</v>
      </c>
      <c r="J209" s="5">
        <v>4352</v>
      </c>
      <c r="O209">
        <v>0</v>
      </c>
      <c r="R209">
        <v>0</v>
      </c>
      <c r="U209" s="5">
        <v>258520</v>
      </c>
      <c r="V209">
        <v>1</v>
      </c>
      <c r="W209" s="5"/>
    </row>
    <row r="210" spans="1:23" x14ac:dyDescent="0.35">
      <c r="A210">
        <v>9330</v>
      </c>
      <c r="B210" t="s">
        <v>619</v>
      </c>
      <c r="C210" t="s">
        <v>1027</v>
      </c>
      <c r="D210" t="s">
        <v>829</v>
      </c>
      <c r="F210" s="5">
        <v>103121</v>
      </c>
      <c r="G210" s="5">
        <v>103121</v>
      </c>
      <c r="H210">
        <v>0</v>
      </c>
      <c r="I210">
        <v>0</v>
      </c>
      <c r="J210">
        <v>0</v>
      </c>
      <c r="O210">
        <v>0</v>
      </c>
      <c r="R210">
        <v>0</v>
      </c>
      <c r="U210" s="5">
        <v>403817</v>
      </c>
      <c r="V210">
        <v>1</v>
      </c>
    </row>
    <row r="211" spans="1:23" x14ac:dyDescent="0.35">
      <c r="A211">
        <v>9332</v>
      </c>
      <c r="B211" t="s">
        <v>620</v>
      </c>
      <c r="C211" t="s">
        <v>1028</v>
      </c>
      <c r="D211" t="s">
        <v>829</v>
      </c>
      <c r="V211">
        <v>1</v>
      </c>
    </row>
    <row r="212" spans="1:23" x14ac:dyDescent="0.35">
      <c r="A212">
        <v>9370</v>
      </c>
      <c r="B212" t="s">
        <v>621</v>
      </c>
      <c r="C212" t="s">
        <v>1029</v>
      </c>
      <c r="D212" t="s">
        <v>829</v>
      </c>
      <c r="F212" s="5">
        <v>122600</v>
      </c>
      <c r="G212" s="5">
        <v>122600</v>
      </c>
      <c r="H212">
        <v>0</v>
      </c>
      <c r="I212">
        <v>0</v>
      </c>
      <c r="J212">
        <v>0</v>
      </c>
      <c r="O212">
        <v>0</v>
      </c>
      <c r="R212">
        <v>0</v>
      </c>
      <c r="U212" s="5">
        <v>253966</v>
      </c>
      <c r="V212">
        <v>1</v>
      </c>
    </row>
    <row r="213" spans="1:23" x14ac:dyDescent="0.35">
      <c r="A213">
        <v>9400</v>
      </c>
      <c r="B213" t="s">
        <v>622</v>
      </c>
      <c r="C213" t="s">
        <v>1030</v>
      </c>
      <c r="D213" t="s">
        <v>829</v>
      </c>
      <c r="F213" s="5">
        <v>135650</v>
      </c>
      <c r="G213" s="5">
        <v>135650</v>
      </c>
      <c r="H213">
        <v>0</v>
      </c>
      <c r="I213">
        <v>0</v>
      </c>
      <c r="J213">
        <v>100</v>
      </c>
      <c r="O213">
        <v>0</v>
      </c>
      <c r="R213">
        <v>0</v>
      </c>
      <c r="U213" s="5">
        <v>521482</v>
      </c>
      <c r="V213">
        <v>1</v>
      </c>
      <c r="W213" s="5"/>
    </row>
    <row r="214" spans="1:23" x14ac:dyDescent="0.35">
      <c r="A214">
        <v>9402</v>
      </c>
      <c r="B214" t="s">
        <v>623</v>
      </c>
      <c r="C214" t="s">
        <v>1031</v>
      </c>
      <c r="D214" t="s">
        <v>829</v>
      </c>
      <c r="F214" s="5">
        <v>80802</v>
      </c>
      <c r="G214" s="5">
        <v>80802</v>
      </c>
      <c r="H214">
        <v>0</v>
      </c>
      <c r="I214">
        <v>0</v>
      </c>
      <c r="J214">
        <v>0</v>
      </c>
      <c r="O214">
        <v>0</v>
      </c>
      <c r="R214">
        <v>0</v>
      </c>
      <c r="U214" s="5">
        <v>217804</v>
      </c>
      <c r="V214">
        <v>1</v>
      </c>
    </row>
    <row r="215" spans="1:23" x14ac:dyDescent="0.35">
      <c r="A215">
        <v>9440</v>
      </c>
      <c r="B215" t="s">
        <v>624</v>
      </c>
      <c r="C215" t="s">
        <v>1032</v>
      </c>
      <c r="D215" t="s">
        <v>829</v>
      </c>
      <c r="F215" s="5">
        <v>229378</v>
      </c>
      <c r="G215" s="5">
        <v>229378</v>
      </c>
      <c r="H215" s="5">
        <v>9882</v>
      </c>
      <c r="I215" s="5">
        <v>31446</v>
      </c>
      <c r="J215" s="5">
        <v>3775</v>
      </c>
      <c r="O215">
        <v>0</v>
      </c>
      <c r="R215">
        <v>0</v>
      </c>
      <c r="U215" s="5">
        <v>476198</v>
      </c>
      <c r="V215">
        <v>1</v>
      </c>
    </row>
    <row r="216" spans="1:23" x14ac:dyDescent="0.35">
      <c r="A216">
        <v>9460</v>
      </c>
      <c r="B216" t="s">
        <v>625</v>
      </c>
      <c r="C216" t="s">
        <v>1033</v>
      </c>
      <c r="D216" t="s">
        <v>829</v>
      </c>
      <c r="F216" s="5">
        <v>124196</v>
      </c>
      <c r="G216" s="5">
        <v>124196</v>
      </c>
      <c r="H216" s="5">
        <v>11952</v>
      </c>
      <c r="I216" s="5">
        <v>18444</v>
      </c>
      <c r="J216">
        <v>0</v>
      </c>
      <c r="O216">
        <v>0</v>
      </c>
      <c r="R216">
        <v>0</v>
      </c>
      <c r="U216" s="5">
        <v>279915</v>
      </c>
      <c r="V216">
        <v>1</v>
      </c>
    </row>
    <row r="217" spans="1:23" x14ac:dyDescent="0.35">
      <c r="A217">
        <v>9480</v>
      </c>
      <c r="B217" t="s">
        <v>626</v>
      </c>
      <c r="C217" t="s">
        <v>1034</v>
      </c>
      <c r="D217" t="s">
        <v>829</v>
      </c>
      <c r="F217" s="5">
        <v>129312</v>
      </c>
      <c r="G217" s="5">
        <v>129312</v>
      </c>
      <c r="H217">
        <v>0</v>
      </c>
      <c r="I217">
        <v>0</v>
      </c>
      <c r="J217">
        <v>0</v>
      </c>
      <c r="O217">
        <v>0</v>
      </c>
      <c r="R217">
        <v>0</v>
      </c>
      <c r="U217" s="5">
        <v>250100</v>
      </c>
      <c r="V217">
        <v>1</v>
      </c>
    </row>
    <row r="218" spans="1:23" x14ac:dyDescent="0.35">
      <c r="A218">
        <v>9490</v>
      </c>
      <c r="B218" t="s">
        <v>627</v>
      </c>
      <c r="C218" t="s">
        <v>1035</v>
      </c>
      <c r="D218" t="s">
        <v>829</v>
      </c>
      <c r="F218" s="5">
        <v>65338</v>
      </c>
      <c r="G218" s="5">
        <v>65338</v>
      </c>
      <c r="H218">
        <v>0</v>
      </c>
      <c r="I218">
        <v>0</v>
      </c>
      <c r="J218" s="5">
        <v>5233</v>
      </c>
      <c r="O218">
        <v>0</v>
      </c>
      <c r="R218">
        <v>0</v>
      </c>
      <c r="U218" s="5">
        <v>97906</v>
      </c>
      <c r="V218">
        <v>1</v>
      </c>
    </row>
    <row r="219" spans="1:23" x14ac:dyDescent="0.35">
      <c r="A219">
        <v>9492</v>
      </c>
      <c r="B219" t="s">
        <v>628</v>
      </c>
      <c r="C219" t="s">
        <v>1036</v>
      </c>
      <c r="D219" t="s">
        <v>829</v>
      </c>
      <c r="F219" s="5">
        <v>113163</v>
      </c>
      <c r="G219" s="5">
        <v>113163</v>
      </c>
      <c r="H219">
        <v>150</v>
      </c>
      <c r="I219" s="5">
        <v>16000</v>
      </c>
      <c r="J219">
        <v>0</v>
      </c>
      <c r="O219">
        <v>0</v>
      </c>
      <c r="R219" s="5">
        <v>16000</v>
      </c>
      <c r="U219" s="5">
        <v>205227</v>
      </c>
      <c r="V219">
        <v>1</v>
      </c>
      <c r="W219" s="5"/>
    </row>
    <row r="220" spans="1:23" x14ac:dyDescent="0.35">
      <c r="A220">
        <v>9510</v>
      </c>
      <c r="B220" t="s">
        <v>629</v>
      </c>
      <c r="C220" t="s">
        <v>1037</v>
      </c>
      <c r="D220" t="s">
        <v>829</v>
      </c>
      <c r="E220" s="5">
        <v>1454139</v>
      </c>
      <c r="F220" s="5">
        <v>803777</v>
      </c>
      <c r="G220" s="5">
        <v>803777</v>
      </c>
      <c r="H220">
        <v>0</v>
      </c>
      <c r="I220">
        <v>0</v>
      </c>
      <c r="K220">
        <v>0</v>
      </c>
      <c r="L220">
        <v>0</v>
      </c>
      <c r="M220">
        <v>0</v>
      </c>
      <c r="N220">
        <v>0</v>
      </c>
      <c r="O220">
        <v>0</v>
      </c>
      <c r="P220">
        <v>0</v>
      </c>
      <c r="Q220">
        <v>0</v>
      </c>
      <c r="R220">
        <v>0</v>
      </c>
      <c r="U220" s="5">
        <v>1404008</v>
      </c>
      <c r="V220">
        <v>1</v>
      </c>
    </row>
    <row r="221" spans="1:23" x14ac:dyDescent="0.35">
      <c r="A221">
        <v>9520</v>
      </c>
      <c r="B221" t="s">
        <v>630</v>
      </c>
      <c r="C221" t="s">
        <v>1038</v>
      </c>
      <c r="D221" t="s">
        <v>829</v>
      </c>
      <c r="V221">
        <v>1</v>
      </c>
    </row>
    <row r="222" spans="1:23" x14ac:dyDescent="0.35">
      <c r="A222">
        <v>9530</v>
      </c>
      <c r="B222" t="s">
        <v>631</v>
      </c>
      <c r="C222" t="s">
        <v>1039</v>
      </c>
      <c r="D222" t="s">
        <v>829</v>
      </c>
      <c r="F222" s="5">
        <v>1425</v>
      </c>
      <c r="G222" s="5">
        <v>1425</v>
      </c>
      <c r="H222">
        <v>0</v>
      </c>
      <c r="I222">
        <v>0</v>
      </c>
      <c r="J222">
        <v>0</v>
      </c>
      <c r="O222">
        <v>0</v>
      </c>
      <c r="R222">
        <v>0</v>
      </c>
      <c r="U222" s="5">
        <v>2358</v>
      </c>
      <c r="V222">
        <v>1</v>
      </c>
    </row>
    <row r="223" spans="1:23" x14ac:dyDescent="0.35">
      <c r="A223">
        <v>9532</v>
      </c>
      <c r="B223" t="s">
        <v>632</v>
      </c>
      <c r="C223" t="s">
        <v>1040</v>
      </c>
      <c r="D223" t="s">
        <v>829</v>
      </c>
      <c r="F223" s="5">
        <v>286810</v>
      </c>
      <c r="G223" s="5">
        <v>286810</v>
      </c>
      <c r="H223">
        <v>0</v>
      </c>
      <c r="I223">
        <v>0</v>
      </c>
      <c r="J223">
        <v>0</v>
      </c>
      <c r="O223">
        <v>0</v>
      </c>
      <c r="R223">
        <v>0</v>
      </c>
      <c r="U223" s="5">
        <v>434945</v>
      </c>
      <c r="V223">
        <v>1</v>
      </c>
    </row>
    <row r="224" spans="1:23" x14ac:dyDescent="0.35">
      <c r="A224">
        <v>9550</v>
      </c>
      <c r="B224" t="s">
        <v>633</v>
      </c>
      <c r="C224" t="s">
        <v>1041</v>
      </c>
      <c r="D224" t="s">
        <v>829</v>
      </c>
      <c r="F224" s="5">
        <v>125980</v>
      </c>
      <c r="G224" s="5">
        <v>125980</v>
      </c>
      <c r="H224">
        <v>0</v>
      </c>
      <c r="I224">
        <v>0</v>
      </c>
      <c r="J224">
        <v>0</v>
      </c>
      <c r="O224">
        <v>0</v>
      </c>
      <c r="R224">
        <v>0</v>
      </c>
      <c r="U224" s="5">
        <v>201730</v>
      </c>
      <c r="V224">
        <v>1</v>
      </c>
    </row>
    <row r="225" spans="1:23" x14ac:dyDescent="0.35">
      <c r="A225">
        <v>9560</v>
      </c>
      <c r="B225" t="s">
        <v>634</v>
      </c>
      <c r="C225" t="s">
        <v>1042</v>
      </c>
      <c r="D225" t="s">
        <v>829</v>
      </c>
      <c r="F225" s="5">
        <v>132365</v>
      </c>
      <c r="G225" s="5">
        <v>132365</v>
      </c>
      <c r="H225">
        <v>0</v>
      </c>
      <c r="I225">
        <v>0</v>
      </c>
      <c r="J225" s="5">
        <v>7199</v>
      </c>
      <c r="O225">
        <v>0</v>
      </c>
      <c r="R225">
        <v>0</v>
      </c>
      <c r="U225" s="5">
        <v>282106</v>
      </c>
      <c r="V225">
        <v>1</v>
      </c>
      <c r="W225" s="5"/>
    </row>
    <row r="226" spans="1:23" x14ac:dyDescent="0.35">
      <c r="A226">
        <v>9600</v>
      </c>
      <c r="B226" t="s">
        <v>635</v>
      </c>
      <c r="C226" t="s">
        <v>1043</v>
      </c>
      <c r="D226" t="s">
        <v>829</v>
      </c>
      <c r="F226" s="5">
        <v>235654</v>
      </c>
      <c r="G226" s="5">
        <v>235654</v>
      </c>
      <c r="H226">
        <v>0</v>
      </c>
      <c r="I226">
        <v>0</v>
      </c>
      <c r="J226" s="5">
        <v>34621</v>
      </c>
      <c r="O226">
        <v>0</v>
      </c>
      <c r="R226">
        <v>0</v>
      </c>
      <c r="U226" s="5">
        <v>449316</v>
      </c>
      <c r="V226">
        <v>1</v>
      </c>
    </row>
    <row r="227" spans="1:23" x14ac:dyDescent="0.35">
      <c r="A227">
        <v>9620</v>
      </c>
      <c r="B227" t="s">
        <v>636</v>
      </c>
      <c r="C227" t="s">
        <v>1044</v>
      </c>
      <c r="D227" t="s">
        <v>829</v>
      </c>
      <c r="F227" s="5">
        <v>166698</v>
      </c>
      <c r="G227" s="5">
        <v>166698</v>
      </c>
      <c r="H227">
        <v>0</v>
      </c>
      <c r="I227">
        <v>0</v>
      </c>
      <c r="J227" s="5">
        <v>2355</v>
      </c>
      <c r="O227">
        <v>0</v>
      </c>
      <c r="R227">
        <v>0</v>
      </c>
      <c r="U227" s="5">
        <v>317437</v>
      </c>
      <c r="V227">
        <v>1</v>
      </c>
    </row>
    <row r="228" spans="1:23" x14ac:dyDescent="0.35">
      <c r="A228">
        <v>9640</v>
      </c>
      <c r="B228" t="s">
        <v>637</v>
      </c>
      <c r="C228" t="s">
        <v>1045</v>
      </c>
      <c r="D228" t="s">
        <v>829</v>
      </c>
      <c r="F228" s="5">
        <v>82717</v>
      </c>
      <c r="G228" s="5">
        <v>82717</v>
      </c>
      <c r="H228" s="5">
        <v>2686</v>
      </c>
      <c r="I228" s="5">
        <v>7677</v>
      </c>
      <c r="J228" s="5">
        <v>4913</v>
      </c>
      <c r="O228">
        <v>0</v>
      </c>
      <c r="R228">
        <v>0</v>
      </c>
      <c r="U228" s="5">
        <v>197708</v>
      </c>
      <c r="V228">
        <v>1</v>
      </c>
      <c r="W228" s="5"/>
    </row>
    <row r="229" spans="1:23" x14ac:dyDescent="0.35">
      <c r="A229">
        <v>9642</v>
      </c>
      <c r="B229" t="s">
        <v>638</v>
      </c>
      <c r="C229" t="s">
        <v>1046</v>
      </c>
      <c r="D229" t="s">
        <v>829</v>
      </c>
      <c r="E229" s="5">
        <v>66674</v>
      </c>
      <c r="F229" s="5">
        <v>51494</v>
      </c>
      <c r="G229" s="5">
        <v>51494</v>
      </c>
      <c r="H229">
        <v>0</v>
      </c>
      <c r="I229">
        <v>0</v>
      </c>
      <c r="K229">
        <v>0</v>
      </c>
      <c r="L229">
        <v>0</v>
      </c>
      <c r="M229">
        <v>0</v>
      </c>
      <c r="N229">
        <v>0</v>
      </c>
      <c r="O229">
        <v>0</v>
      </c>
      <c r="P229">
        <v>0</v>
      </c>
      <c r="Q229">
        <v>0</v>
      </c>
      <c r="R229">
        <v>0</v>
      </c>
      <c r="S229">
        <v>0</v>
      </c>
      <c r="T229">
        <v>0</v>
      </c>
      <c r="U229" s="5">
        <v>58792</v>
      </c>
      <c r="V229">
        <v>1</v>
      </c>
    </row>
    <row r="230" spans="1:23" x14ac:dyDescent="0.35">
      <c r="A230">
        <v>9670</v>
      </c>
      <c r="B230" t="s">
        <v>639</v>
      </c>
      <c r="C230" t="s">
        <v>1047</v>
      </c>
      <c r="D230" t="s">
        <v>829</v>
      </c>
      <c r="F230" s="5">
        <v>321920</v>
      </c>
      <c r="G230" s="5">
        <v>321920</v>
      </c>
      <c r="H230">
        <v>0</v>
      </c>
      <c r="I230">
        <v>0</v>
      </c>
      <c r="J230">
        <v>0</v>
      </c>
      <c r="O230">
        <v>0</v>
      </c>
      <c r="R230">
        <v>0</v>
      </c>
      <c r="U230" s="5">
        <v>479322</v>
      </c>
      <c r="V230">
        <v>1</v>
      </c>
    </row>
    <row r="231" spans="1:23" x14ac:dyDescent="0.35">
      <c r="A231">
        <v>9690</v>
      </c>
      <c r="B231" t="s">
        <v>640</v>
      </c>
      <c r="C231" t="s">
        <v>1048</v>
      </c>
      <c r="D231" t="s">
        <v>829</v>
      </c>
      <c r="F231" s="5">
        <v>76332</v>
      </c>
      <c r="G231" s="5">
        <v>76332</v>
      </c>
      <c r="H231">
        <v>0</v>
      </c>
      <c r="I231">
        <v>0</v>
      </c>
      <c r="J231" s="5">
        <v>5905</v>
      </c>
      <c r="O231">
        <v>0</v>
      </c>
      <c r="R231">
        <v>0</v>
      </c>
      <c r="U231" s="5">
        <v>182134</v>
      </c>
      <c r="V231">
        <v>1</v>
      </c>
    </row>
    <row r="232" spans="1:23" x14ac:dyDescent="0.35">
      <c r="A232">
        <v>9700</v>
      </c>
      <c r="B232" t="s">
        <v>641</v>
      </c>
      <c r="C232" t="s">
        <v>1049</v>
      </c>
      <c r="D232" t="s">
        <v>829</v>
      </c>
      <c r="E232" s="5">
        <v>887239</v>
      </c>
      <c r="F232" s="5">
        <v>482768</v>
      </c>
      <c r="G232" s="5">
        <v>482768</v>
      </c>
      <c r="H232">
        <v>0</v>
      </c>
      <c r="I232">
        <v>0</v>
      </c>
      <c r="K232">
        <v>0</v>
      </c>
      <c r="L232">
        <v>0</v>
      </c>
      <c r="M232">
        <v>0</v>
      </c>
      <c r="N232">
        <v>0</v>
      </c>
      <c r="O232">
        <v>0</v>
      </c>
      <c r="P232">
        <v>0</v>
      </c>
      <c r="Q232">
        <v>0</v>
      </c>
      <c r="R232">
        <v>0</v>
      </c>
      <c r="S232">
        <v>0</v>
      </c>
      <c r="T232">
        <v>0</v>
      </c>
      <c r="U232" s="5">
        <v>864813</v>
      </c>
      <c r="V232">
        <v>1</v>
      </c>
    </row>
    <row r="233" spans="1:23" x14ac:dyDescent="0.35">
      <c r="A233">
        <v>9760</v>
      </c>
      <c r="B233" t="s">
        <v>642</v>
      </c>
      <c r="C233" t="s">
        <v>1050</v>
      </c>
      <c r="D233" t="s">
        <v>829</v>
      </c>
      <c r="F233" s="5">
        <v>175905</v>
      </c>
      <c r="G233" s="5">
        <v>175905</v>
      </c>
      <c r="H233">
        <v>0</v>
      </c>
      <c r="I233">
        <v>0</v>
      </c>
      <c r="J233">
        <v>15</v>
      </c>
      <c r="O233">
        <v>0</v>
      </c>
      <c r="R233">
        <v>0</v>
      </c>
      <c r="U233" s="5">
        <v>292855</v>
      </c>
      <c r="V233">
        <v>1</v>
      </c>
    </row>
    <row r="234" spans="1:23" x14ac:dyDescent="0.35">
      <c r="A234">
        <v>9800</v>
      </c>
      <c r="B234" t="s">
        <v>643</v>
      </c>
      <c r="C234" t="s">
        <v>1051</v>
      </c>
      <c r="D234" t="s">
        <v>829</v>
      </c>
      <c r="E234" s="5">
        <v>3286297</v>
      </c>
      <c r="F234" s="5">
        <v>2175368</v>
      </c>
      <c r="G234" s="5">
        <v>2175368</v>
      </c>
      <c r="H234">
        <v>0</v>
      </c>
      <c r="I234">
        <v>0</v>
      </c>
      <c r="K234" s="5">
        <v>28501</v>
      </c>
      <c r="L234">
        <v>0</v>
      </c>
      <c r="M234" s="5">
        <v>28501</v>
      </c>
      <c r="N234">
        <v>0</v>
      </c>
      <c r="O234">
        <v>0</v>
      </c>
      <c r="P234">
        <v>0</v>
      </c>
      <c r="Q234">
        <v>0</v>
      </c>
      <c r="R234">
        <v>0</v>
      </c>
      <c r="U234" s="5">
        <v>2978405</v>
      </c>
      <c r="V234">
        <v>1</v>
      </c>
      <c r="W234" s="5"/>
    </row>
    <row r="235" spans="1:23" x14ac:dyDescent="0.35">
      <c r="A235">
        <v>9802</v>
      </c>
      <c r="B235" t="s">
        <v>644</v>
      </c>
      <c r="C235" t="s">
        <v>1052</v>
      </c>
      <c r="D235" t="s">
        <v>829</v>
      </c>
      <c r="F235" s="5">
        <v>181165</v>
      </c>
      <c r="G235" s="5">
        <v>181165</v>
      </c>
      <c r="H235">
        <v>0</v>
      </c>
      <c r="I235">
        <v>0</v>
      </c>
      <c r="J235">
        <v>0</v>
      </c>
      <c r="O235">
        <v>0</v>
      </c>
      <c r="R235">
        <v>0</v>
      </c>
      <c r="U235" s="5">
        <v>254827</v>
      </c>
      <c r="V235">
        <v>1</v>
      </c>
      <c r="W235" s="5"/>
    </row>
    <row r="236" spans="1:23" x14ac:dyDescent="0.35">
      <c r="A236">
        <v>9830</v>
      </c>
      <c r="B236" t="s">
        <v>645</v>
      </c>
      <c r="C236" t="s">
        <v>1053</v>
      </c>
      <c r="D236" t="s">
        <v>829</v>
      </c>
      <c r="F236" s="5">
        <v>235546</v>
      </c>
      <c r="G236" s="5">
        <v>235546</v>
      </c>
      <c r="H236">
        <v>0</v>
      </c>
      <c r="I236">
        <v>0</v>
      </c>
      <c r="J236">
        <v>0</v>
      </c>
      <c r="O236">
        <v>0</v>
      </c>
      <c r="R236">
        <v>0</v>
      </c>
      <c r="U236" s="5">
        <v>272661</v>
      </c>
      <c r="V236">
        <v>1</v>
      </c>
      <c r="W236" s="5"/>
    </row>
    <row r="237" spans="1:23" x14ac:dyDescent="0.35">
      <c r="A237">
        <v>9870</v>
      </c>
      <c r="B237" t="s">
        <v>646</v>
      </c>
      <c r="C237" t="s">
        <v>1054</v>
      </c>
      <c r="D237" t="s">
        <v>829</v>
      </c>
      <c r="F237" s="5">
        <v>333370</v>
      </c>
      <c r="G237" s="5">
        <v>333370</v>
      </c>
      <c r="H237">
        <v>0</v>
      </c>
      <c r="I237">
        <v>0</v>
      </c>
      <c r="J237">
        <v>0</v>
      </c>
      <c r="O237">
        <v>0</v>
      </c>
      <c r="R237">
        <v>0</v>
      </c>
      <c r="U237" s="5">
        <v>394630</v>
      </c>
      <c r="V237">
        <v>1</v>
      </c>
      <c r="W237" s="5"/>
    </row>
    <row r="238" spans="1:23" x14ac:dyDescent="0.35">
      <c r="A238">
        <v>9900</v>
      </c>
      <c r="B238" t="s">
        <v>647</v>
      </c>
      <c r="C238" t="s">
        <v>1055</v>
      </c>
      <c r="D238" t="s">
        <v>829</v>
      </c>
      <c r="E238" s="5">
        <v>5008000</v>
      </c>
      <c r="F238" s="5">
        <v>3082437</v>
      </c>
      <c r="G238" s="5">
        <v>3082437</v>
      </c>
      <c r="H238">
        <v>0</v>
      </c>
      <c r="I238">
        <v>0</v>
      </c>
      <c r="K238" s="5">
        <v>23263</v>
      </c>
      <c r="L238" s="5">
        <v>23263</v>
      </c>
      <c r="M238">
        <v>0</v>
      </c>
      <c r="N238">
        <v>0</v>
      </c>
      <c r="O238">
        <v>0</v>
      </c>
      <c r="P238">
        <v>0</v>
      </c>
      <c r="Q238">
        <v>0</v>
      </c>
      <c r="R238">
        <v>0</v>
      </c>
      <c r="S238">
        <v>0</v>
      </c>
      <c r="T238">
        <v>0</v>
      </c>
      <c r="U238" s="5">
        <v>4294983</v>
      </c>
      <c r="V238">
        <v>1</v>
      </c>
    </row>
    <row r="239" spans="1:23" x14ac:dyDescent="0.35">
      <c r="A239">
        <v>9940</v>
      </c>
      <c r="B239" t="s">
        <v>648</v>
      </c>
      <c r="C239" t="s">
        <v>1056</v>
      </c>
      <c r="D239" t="s">
        <v>829</v>
      </c>
      <c r="F239" s="5">
        <v>222812</v>
      </c>
      <c r="G239" s="5">
        <v>222812</v>
      </c>
      <c r="H239">
        <v>3</v>
      </c>
      <c r="I239">
        <v>976</v>
      </c>
      <c r="J239">
        <v>0</v>
      </c>
      <c r="O239">
        <v>0</v>
      </c>
      <c r="R239">
        <v>0</v>
      </c>
      <c r="U239" s="5">
        <v>147943</v>
      </c>
      <c r="V239">
        <v>1</v>
      </c>
      <c r="W239" s="5"/>
    </row>
    <row r="240" spans="1:23" x14ac:dyDescent="0.35">
      <c r="E240" s="5"/>
      <c r="F240" s="5"/>
      <c r="H240" s="5"/>
      <c r="I240" s="5"/>
      <c r="Q240" s="5"/>
    </row>
    <row r="241" spans="5:17" x14ac:dyDescent="0.35">
      <c r="Q241" s="5"/>
    </row>
    <row r="243" spans="5:17" x14ac:dyDescent="0.35">
      <c r="E243" s="5"/>
    </row>
  </sheetData>
  <sheetProtection algorithmName="SHA-512" hashValue="Gp/P9As+tKYWPz5U8nrvfcQP3WxhDVz6aCOUZoVJwXNzoq5UHSGyNPnnBbE5tDHsngkKr0cpa0ebkUAgA5RsrQ==" saltValue="eQ/jV6FSQPbKsmY4/G9bxA=="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94EE9-729A-4714-8DDF-DA7AA8E4CBDA}">
  <sheetPr codeName="Sheet16">
    <tabColor theme="0" tint="-0.499984740745262"/>
  </sheetPr>
  <dimension ref="A1:AT109"/>
  <sheetViews>
    <sheetView workbookViewId="0"/>
  </sheetViews>
  <sheetFormatPr defaultRowHeight="14.5" x14ac:dyDescent="0.35"/>
  <sheetData>
    <row r="1" spans="1:46" x14ac:dyDescent="0.35">
      <c r="A1" t="s">
        <v>794</v>
      </c>
      <c r="D1" t="s">
        <v>795</v>
      </c>
      <c r="E1">
        <v>2023</v>
      </c>
      <c r="F1">
        <v>2023</v>
      </c>
      <c r="G1">
        <v>2023</v>
      </c>
      <c r="H1">
        <v>2023</v>
      </c>
      <c r="I1">
        <v>2023</v>
      </c>
      <c r="J1">
        <v>2023</v>
      </c>
      <c r="K1">
        <v>2023</v>
      </c>
      <c r="L1">
        <v>2023</v>
      </c>
      <c r="M1">
        <v>2023</v>
      </c>
      <c r="N1">
        <v>2023</v>
      </c>
      <c r="O1">
        <v>2023</v>
      </c>
      <c r="P1">
        <v>2023</v>
      </c>
      <c r="Q1">
        <v>2023</v>
      </c>
      <c r="R1">
        <v>2023</v>
      </c>
      <c r="S1">
        <v>2023</v>
      </c>
      <c r="T1">
        <v>2023</v>
      </c>
      <c r="U1">
        <v>2023</v>
      </c>
      <c r="V1">
        <v>2023</v>
      </c>
      <c r="W1">
        <v>2023</v>
      </c>
      <c r="X1">
        <v>2023</v>
      </c>
      <c r="Y1">
        <v>2023</v>
      </c>
      <c r="Z1">
        <v>2023</v>
      </c>
      <c r="AA1">
        <v>2023</v>
      </c>
      <c r="AB1">
        <v>2023</v>
      </c>
      <c r="AC1">
        <v>2023</v>
      </c>
      <c r="AD1">
        <v>2023</v>
      </c>
      <c r="AE1">
        <v>2023</v>
      </c>
      <c r="AF1">
        <v>2023</v>
      </c>
      <c r="AG1">
        <v>2023</v>
      </c>
      <c r="AH1">
        <v>2023</v>
      </c>
      <c r="AI1">
        <v>2023</v>
      </c>
      <c r="AJ1">
        <v>2023</v>
      </c>
      <c r="AK1">
        <v>2023</v>
      </c>
      <c r="AL1">
        <v>2023</v>
      </c>
      <c r="AM1">
        <v>2023</v>
      </c>
      <c r="AN1">
        <v>2023</v>
      </c>
      <c r="AO1">
        <v>2023</v>
      </c>
      <c r="AP1">
        <v>2023</v>
      </c>
      <c r="AQ1">
        <v>2023</v>
      </c>
      <c r="AR1">
        <v>2023</v>
      </c>
      <c r="AS1">
        <v>2023</v>
      </c>
      <c r="AT1">
        <v>2023</v>
      </c>
    </row>
    <row r="2" spans="1:46" x14ac:dyDescent="0.35">
      <c r="D2" t="s">
        <v>796</v>
      </c>
      <c r="E2" t="s">
        <v>797</v>
      </c>
      <c r="F2" t="s">
        <v>797</v>
      </c>
      <c r="G2" t="s">
        <v>798</v>
      </c>
      <c r="H2" t="s">
        <v>798</v>
      </c>
      <c r="I2" t="s">
        <v>798</v>
      </c>
      <c r="J2" t="s">
        <v>798</v>
      </c>
      <c r="K2" t="s">
        <v>798</v>
      </c>
      <c r="L2" t="s">
        <v>798</v>
      </c>
      <c r="M2" t="s">
        <v>798</v>
      </c>
      <c r="N2" t="s">
        <v>798</v>
      </c>
      <c r="O2" t="s">
        <v>798</v>
      </c>
      <c r="P2" t="s">
        <v>798</v>
      </c>
      <c r="Q2" t="s">
        <v>798</v>
      </c>
      <c r="R2" t="s">
        <v>798</v>
      </c>
      <c r="S2" t="s">
        <v>798</v>
      </c>
      <c r="T2" t="s">
        <v>798</v>
      </c>
      <c r="U2" t="s">
        <v>798</v>
      </c>
      <c r="V2" t="s">
        <v>798</v>
      </c>
      <c r="W2" t="s">
        <v>798</v>
      </c>
      <c r="X2" t="s">
        <v>798</v>
      </c>
      <c r="Y2" t="s">
        <v>798</v>
      </c>
      <c r="Z2" t="s">
        <v>798</v>
      </c>
      <c r="AA2" t="s">
        <v>798</v>
      </c>
      <c r="AB2" t="s">
        <v>798</v>
      </c>
      <c r="AC2" t="s">
        <v>798</v>
      </c>
      <c r="AD2" t="s">
        <v>798</v>
      </c>
      <c r="AE2" t="s">
        <v>798</v>
      </c>
      <c r="AF2" t="s">
        <v>798</v>
      </c>
      <c r="AG2" t="s">
        <v>798</v>
      </c>
      <c r="AH2" t="s">
        <v>798</v>
      </c>
      <c r="AI2" t="s">
        <v>798</v>
      </c>
      <c r="AJ2" t="s">
        <v>798</v>
      </c>
      <c r="AK2" t="s">
        <v>798</v>
      </c>
      <c r="AL2" t="s">
        <v>798</v>
      </c>
      <c r="AM2" t="s">
        <v>798</v>
      </c>
      <c r="AN2" t="s">
        <v>798</v>
      </c>
      <c r="AO2" t="s">
        <v>798</v>
      </c>
      <c r="AP2" t="s">
        <v>798</v>
      </c>
      <c r="AQ2" t="s">
        <v>798</v>
      </c>
      <c r="AR2" t="s">
        <v>798</v>
      </c>
      <c r="AS2" t="s">
        <v>798</v>
      </c>
      <c r="AT2" t="s">
        <v>800</v>
      </c>
    </row>
    <row r="3" spans="1:46" x14ac:dyDescent="0.35">
      <c r="D3" t="s">
        <v>801</v>
      </c>
      <c r="E3" t="s">
        <v>1057</v>
      </c>
      <c r="F3" t="s">
        <v>1058</v>
      </c>
      <c r="G3" t="s">
        <v>1057</v>
      </c>
      <c r="H3" t="s">
        <v>1057</v>
      </c>
      <c r="I3" t="s">
        <v>1057</v>
      </c>
      <c r="J3" t="s">
        <v>1057</v>
      </c>
      <c r="K3" t="s">
        <v>1057</v>
      </c>
      <c r="L3" t="s">
        <v>1057</v>
      </c>
      <c r="M3" t="s">
        <v>1057</v>
      </c>
      <c r="N3" t="s">
        <v>1057</v>
      </c>
      <c r="O3" t="s">
        <v>1057</v>
      </c>
      <c r="P3" t="s">
        <v>1057</v>
      </c>
      <c r="Q3" t="s">
        <v>1057</v>
      </c>
      <c r="R3" t="s">
        <v>1057</v>
      </c>
      <c r="S3" t="s">
        <v>1057</v>
      </c>
      <c r="T3" t="s">
        <v>1057</v>
      </c>
      <c r="U3" t="s">
        <v>1058</v>
      </c>
      <c r="V3" t="s">
        <v>1058</v>
      </c>
      <c r="W3" t="s">
        <v>1058</v>
      </c>
      <c r="X3" t="s">
        <v>1058</v>
      </c>
      <c r="Y3" t="s">
        <v>1058</v>
      </c>
      <c r="Z3" t="s">
        <v>1058</v>
      </c>
      <c r="AA3" t="s">
        <v>1058</v>
      </c>
      <c r="AB3" t="s">
        <v>1058</v>
      </c>
      <c r="AC3" t="s">
        <v>1058</v>
      </c>
      <c r="AD3" t="s">
        <v>1058</v>
      </c>
      <c r="AE3" t="s">
        <v>1058</v>
      </c>
      <c r="AF3" t="s">
        <v>1058</v>
      </c>
      <c r="AG3" t="s">
        <v>1058</v>
      </c>
      <c r="AH3" t="s">
        <v>1058</v>
      </c>
      <c r="AI3" t="s">
        <v>1058</v>
      </c>
      <c r="AJ3" t="s">
        <v>1058</v>
      </c>
      <c r="AK3" t="s">
        <v>1058</v>
      </c>
      <c r="AL3" t="s">
        <v>1058</v>
      </c>
      <c r="AM3" t="s">
        <v>1058</v>
      </c>
      <c r="AN3" t="s">
        <v>1058</v>
      </c>
      <c r="AO3" t="s">
        <v>1058</v>
      </c>
      <c r="AP3" t="s">
        <v>1058</v>
      </c>
      <c r="AQ3" t="s">
        <v>1058</v>
      </c>
      <c r="AR3" t="s">
        <v>803</v>
      </c>
      <c r="AS3" t="s">
        <v>803</v>
      </c>
      <c r="AT3" t="s">
        <v>1059</v>
      </c>
    </row>
    <row r="4" spans="1:46" x14ac:dyDescent="0.35">
      <c r="D4" t="s">
        <v>804</v>
      </c>
      <c r="E4" t="s">
        <v>658</v>
      </c>
      <c r="F4" t="s">
        <v>781</v>
      </c>
      <c r="G4" t="s">
        <v>654</v>
      </c>
      <c r="H4" t="s">
        <v>1374</v>
      </c>
      <c r="I4" t="s">
        <v>656</v>
      </c>
      <c r="J4" t="s">
        <v>1060</v>
      </c>
      <c r="K4" t="s">
        <v>655</v>
      </c>
      <c r="L4" t="s">
        <v>659</v>
      </c>
      <c r="M4" t="s">
        <v>660</v>
      </c>
      <c r="N4" t="s">
        <v>661</v>
      </c>
      <c r="O4" t="s">
        <v>662</v>
      </c>
      <c r="P4" t="s">
        <v>663</v>
      </c>
      <c r="Q4" t="s">
        <v>1375</v>
      </c>
      <c r="R4" t="s">
        <v>657</v>
      </c>
      <c r="S4" t="s">
        <v>789</v>
      </c>
      <c r="T4" t="s">
        <v>790</v>
      </c>
      <c r="U4" t="s">
        <v>791</v>
      </c>
      <c r="V4" t="s">
        <v>787</v>
      </c>
      <c r="W4" t="s">
        <v>788</v>
      </c>
      <c r="X4" t="s">
        <v>772</v>
      </c>
      <c r="Y4" t="s">
        <v>1376</v>
      </c>
      <c r="Z4" t="s">
        <v>1061</v>
      </c>
      <c r="AA4" t="s">
        <v>774</v>
      </c>
      <c r="AB4" t="s">
        <v>1062</v>
      </c>
      <c r="AC4" t="s">
        <v>773</v>
      </c>
      <c r="AD4" t="s">
        <v>782</v>
      </c>
      <c r="AE4" t="s">
        <v>783</v>
      </c>
      <c r="AF4" t="s">
        <v>784</v>
      </c>
      <c r="AG4" t="s">
        <v>785</v>
      </c>
      <c r="AH4" t="s">
        <v>786</v>
      </c>
      <c r="AI4" t="s">
        <v>1377</v>
      </c>
      <c r="AJ4" t="s">
        <v>1063</v>
      </c>
      <c r="AK4" t="s">
        <v>775</v>
      </c>
      <c r="AL4" t="s">
        <v>778</v>
      </c>
      <c r="AM4" t="s">
        <v>780</v>
      </c>
      <c r="AN4" t="s">
        <v>779</v>
      </c>
      <c r="AO4" t="s">
        <v>776</v>
      </c>
      <c r="AP4" t="s">
        <v>777</v>
      </c>
      <c r="AQ4" t="s">
        <v>792</v>
      </c>
      <c r="AR4" t="s">
        <v>414</v>
      </c>
      <c r="AS4" t="s">
        <v>415</v>
      </c>
      <c r="AT4" t="s">
        <v>416</v>
      </c>
    </row>
    <row r="5" spans="1:46" x14ac:dyDescent="0.35">
      <c r="D5" t="s">
        <v>806</v>
      </c>
      <c r="E5" t="s">
        <v>653</v>
      </c>
      <c r="F5" t="s">
        <v>757</v>
      </c>
      <c r="G5" t="s">
        <v>1064</v>
      </c>
      <c r="H5" t="s">
        <v>1378</v>
      </c>
      <c r="I5" t="s">
        <v>1065</v>
      </c>
      <c r="J5" t="s">
        <v>1066</v>
      </c>
      <c r="K5" t="s">
        <v>1066</v>
      </c>
      <c r="L5" t="s">
        <v>1067</v>
      </c>
      <c r="M5" t="s">
        <v>1068</v>
      </c>
      <c r="N5" t="s">
        <v>1069</v>
      </c>
      <c r="O5" t="s">
        <v>1070</v>
      </c>
      <c r="P5" t="s">
        <v>1071</v>
      </c>
      <c r="Q5" t="s">
        <v>1379</v>
      </c>
      <c r="R5" t="s">
        <v>1072</v>
      </c>
      <c r="S5" t="s">
        <v>766</v>
      </c>
      <c r="T5" t="s">
        <v>767</v>
      </c>
      <c r="U5" t="s">
        <v>768</v>
      </c>
      <c r="V5" t="s">
        <v>764</v>
      </c>
      <c r="W5" t="s">
        <v>765</v>
      </c>
      <c r="X5" t="s">
        <v>1073</v>
      </c>
      <c r="Y5" t="s">
        <v>1380</v>
      </c>
      <c r="Z5" t="s">
        <v>752</v>
      </c>
      <c r="AA5" t="s">
        <v>1074</v>
      </c>
      <c r="AB5" t="s">
        <v>1075</v>
      </c>
      <c r="AC5" t="s">
        <v>1076</v>
      </c>
      <c r="AD5" t="s">
        <v>1077</v>
      </c>
      <c r="AE5" t="s">
        <v>1078</v>
      </c>
      <c r="AF5" t="s">
        <v>1079</v>
      </c>
      <c r="AG5" t="s">
        <v>1080</v>
      </c>
      <c r="AH5" t="s">
        <v>1081</v>
      </c>
      <c r="AI5" t="s">
        <v>1381</v>
      </c>
      <c r="AJ5" t="s">
        <v>1082</v>
      </c>
      <c r="AK5" t="s">
        <v>1083</v>
      </c>
      <c r="AL5" t="s">
        <v>232</v>
      </c>
      <c r="AM5" t="s">
        <v>1084</v>
      </c>
      <c r="AN5" t="s">
        <v>1085</v>
      </c>
      <c r="AO5" t="s">
        <v>1086</v>
      </c>
      <c r="AP5" t="s">
        <v>1087</v>
      </c>
      <c r="AQ5" t="s">
        <v>1090</v>
      </c>
      <c r="AR5" t="s">
        <v>1088</v>
      </c>
      <c r="AS5" t="s">
        <v>1089</v>
      </c>
      <c r="AT5" t="s">
        <v>398</v>
      </c>
    </row>
    <row r="6" spans="1:46" x14ac:dyDescent="0.35">
      <c r="D6" t="s">
        <v>808</v>
      </c>
    </row>
    <row r="7" spans="1:46" x14ac:dyDescent="0.35">
      <c r="D7" t="s">
        <v>236</v>
      </c>
      <c r="E7" t="s">
        <v>399</v>
      </c>
      <c r="F7" t="s">
        <v>399</v>
      </c>
      <c r="G7" t="s">
        <v>266</v>
      </c>
      <c r="H7" t="s">
        <v>266</v>
      </c>
      <c r="I7" t="s">
        <v>266</v>
      </c>
      <c r="J7" t="s">
        <v>266</v>
      </c>
      <c r="K7" t="s">
        <v>266</v>
      </c>
      <c r="L7" t="s">
        <v>266</v>
      </c>
      <c r="M7" t="s">
        <v>266</v>
      </c>
      <c r="N7" t="s">
        <v>266</v>
      </c>
      <c r="O7" t="s">
        <v>266</v>
      </c>
      <c r="P7" t="s">
        <v>266</v>
      </c>
      <c r="Q7" t="s">
        <v>266</v>
      </c>
      <c r="R7" t="s">
        <v>266</v>
      </c>
      <c r="S7" t="s">
        <v>770</v>
      </c>
      <c r="T7" t="s">
        <v>770</v>
      </c>
      <c r="U7" t="s">
        <v>770</v>
      </c>
      <c r="V7" t="s">
        <v>770</v>
      </c>
      <c r="W7" t="s">
        <v>770</v>
      </c>
      <c r="X7" t="s">
        <v>266</v>
      </c>
      <c r="Y7" t="s">
        <v>266</v>
      </c>
      <c r="Z7" t="s">
        <v>266</v>
      </c>
      <c r="AA7" t="s">
        <v>266</v>
      </c>
      <c r="AB7" t="s">
        <v>266</v>
      </c>
      <c r="AC7" t="s">
        <v>266</v>
      </c>
      <c r="AD7" t="s">
        <v>266</v>
      </c>
      <c r="AE7" t="s">
        <v>266</v>
      </c>
      <c r="AF7" t="s">
        <v>266</v>
      </c>
      <c r="AG7" t="s">
        <v>266</v>
      </c>
      <c r="AH7" t="s">
        <v>266</v>
      </c>
      <c r="AI7" t="s">
        <v>266</v>
      </c>
      <c r="AJ7" t="s">
        <v>266</v>
      </c>
      <c r="AK7" t="s">
        <v>266</v>
      </c>
      <c r="AL7" t="s">
        <v>266</v>
      </c>
      <c r="AM7" t="s">
        <v>266</v>
      </c>
      <c r="AN7" t="s">
        <v>266</v>
      </c>
      <c r="AO7" t="s">
        <v>266</v>
      </c>
      <c r="AP7" t="s">
        <v>266</v>
      </c>
      <c r="AQ7" t="s">
        <v>1091</v>
      </c>
      <c r="AR7" t="s">
        <v>266</v>
      </c>
      <c r="AS7" t="s">
        <v>266</v>
      </c>
      <c r="AT7" t="s">
        <v>809</v>
      </c>
    </row>
    <row r="8" spans="1:46" x14ac:dyDescent="0.35">
      <c r="D8" t="s">
        <v>810</v>
      </c>
      <c r="E8" t="s">
        <v>1092</v>
      </c>
      <c r="F8" t="s">
        <v>1093</v>
      </c>
      <c r="G8" t="s">
        <v>1094</v>
      </c>
      <c r="H8" t="s">
        <v>1382</v>
      </c>
      <c r="I8" t="s">
        <v>1095</v>
      </c>
      <c r="J8" t="s">
        <v>1096</v>
      </c>
      <c r="K8" t="s">
        <v>1097</v>
      </c>
      <c r="L8" t="s">
        <v>1098</v>
      </c>
      <c r="M8" t="s">
        <v>1099</v>
      </c>
      <c r="N8" t="s">
        <v>1100</v>
      </c>
      <c r="O8" t="s">
        <v>1101</v>
      </c>
      <c r="P8" t="s">
        <v>1102</v>
      </c>
      <c r="Q8" t="s">
        <v>1383</v>
      </c>
      <c r="R8" t="s">
        <v>1103</v>
      </c>
      <c r="S8" t="s">
        <v>1104</v>
      </c>
      <c r="T8" t="s">
        <v>1105</v>
      </c>
      <c r="U8" t="s">
        <v>1106</v>
      </c>
      <c r="V8" t="s">
        <v>1107</v>
      </c>
      <c r="W8" t="s">
        <v>1108</v>
      </c>
      <c r="X8" t="s">
        <v>1109</v>
      </c>
      <c r="Y8" t="s">
        <v>1384</v>
      </c>
      <c r="Z8" t="s">
        <v>1110</v>
      </c>
      <c r="AA8" t="s">
        <v>1111</v>
      </c>
      <c r="AC8" t="s">
        <v>1112</v>
      </c>
      <c r="AD8" t="s">
        <v>1113</v>
      </c>
      <c r="AE8" t="s">
        <v>1114</v>
      </c>
      <c r="AF8" t="s">
        <v>1115</v>
      </c>
      <c r="AG8" t="s">
        <v>1116</v>
      </c>
      <c r="AH8" t="s">
        <v>1117</v>
      </c>
      <c r="AI8" t="s">
        <v>1385</v>
      </c>
      <c r="AJ8" t="s">
        <v>1118</v>
      </c>
      <c r="AK8" t="s">
        <v>1119</v>
      </c>
      <c r="AL8" t="s">
        <v>1120</v>
      </c>
      <c r="AM8" t="s">
        <v>1121</v>
      </c>
      <c r="AN8" t="s">
        <v>1122</v>
      </c>
      <c r="AO8" t="s">
        <v>1123</v>
      </c>
      <c r="AP8" t="s">
        <v>1124</v>
      </c>
      <c r="AQ8" t="s">
        <v>1127</v>
      </c>
      <c r="AR8" t="s">
        <v>1125</v>
      </c>
      <c r="AS8" t="s">
        <v>1126</v>
      </c>
      <c r="AT8" t="s">
        <v>825</v>
      </c>
    </row>
    <row r="9" spans="1:46" x14ac:dyDescent="0.35">
      <c r="D9" t="s">
        <v>826</v>
      </c>
      <c r="K9" t="s">
        <v>1128</v>
      </c>
      <c r="Y9" t="s">
        <v>1386</v>
      </c>
      <c r="AA9" t="s">
        <v>1129</v>
      </c>
      <c r="AC9" t="s">
        <v>1130</v>
      </c>
      <c r="AK9" t="s">
        <v>1131</v>
      </c>
    </row>
    <row r="10" spans="1:46" x14ac:dyDescent="0.35">
      <c r="A10">
        <v>1431</v>
      </c>
      <c r="B10" t="s">
        <v>665</v>
      </c>
      <c r="C10" t="s">
        <v>1132</v>
      </c>
      <c r="D10" t="s">
        <v>829</v>
      </c>
      <c r="F10" s="5">
        <v>45370937</v>
      </c>
      <c r="K10">
        <v>0</v>
      </c>
      <c r="S10">
        <v>158455</v>
      </c>
      <c r="T10">
        <v>0</v>
      </c>
      <c r="U10">
        <v>60674647</v>
      </c>
      <c r="V10">
        <v>5349345</v>
      </c>
      <c r="W10">
        <v>717683</v>
      </c>
      <c r="X10" s="5">
        <v>23211127</v>
      </c>
      <c r="Y10" s="5">
        <v>633000</v>
      </c>
      <c r="AA10" s="5">
        <v>2891000</v>
      </c>
      <c r="AC10" s="5">
        <v>540300</v>
      </c>
      <c r="AD10" s="5">
        <v>509000</v>
      </c>
      <c r="AE10">
        <v>0</v>
      </c>
      <c r="AF10" s="5">
        <v>31300</v>
      </c>
      <c r="AG10">
        <v>0</v>
      </c>
      <c r="AH10">
        <v>0</v>
      </c>
      <c r="AI10" s="5">
        <v>14163000</v>
      </c>
      <c r="AK10" s="5">
        <v>36563479</v>
      </c>
      <c r="AL10" s="5">
        <v>36563479</v>
      </c>
      <c r="AQ10" s="5">
        <v>12414681</v>
      </c>
      <c r="AT10">
        <v>2</v>
      </c>
    </row>
    <row r="11" spans="1:46" x14ac:dyDescent="0.35">
      <c r="A11">
        <v>2001</v>
      </c>
      <c r="B11" t="s">
        <v>667</v>
      </c>
      <c r="C11" t="s">
        <v>830</v>
      </c>
      <c r="D11" t="s">
        <v>829</v>
      </c>
      <c r="E11" s="5">
        <v>4741086</v>
      </c>
      <c r="G11" s="5">
        <v>565501</v>
      </c>
      <c r="H11">
        <v>0</v>
      </c>
      <c r="I11">
        <v>0</v>
      </c>
      <c r="K11">
        <v>0</v>
      </c>
      <c r="L11">
        <v>0</v>
      </c>
      <c r="M11">
        <v>0</v>
      </c>
      <c r="N11">
        <v>0</v>
      </c>
      <c r="O11">
        <v>0</v>
      </c>
      <c r="P11">
        <v>0</v>
      </c>
      <c r="Q11">
        <v>0</v>
      </c>
      <c r="R11">
        <v>0</v>
      </c>
      <c r="S11">
        <v>0</v>
      </c>
      <c r="T11">
        <v>0</v>
      </c>
      <c r="U11">
        <v>0</v>
      </c>
      <c r="V11">
        <v>0</v>
      </c>
      <c r="W11">
        <v>0</v>
      </c>
      <c r="Y11">
        <v>0</v>
      </c>
      <c r="AA11">
        <v>0</v>
      </c>
      <c r="AC11">
        <v>0</v>
      </c>
      <c r="AK11">
        <v>0</v>
      </c>
      <c r="AT11">
        <v>2</v>
      </c>
    </row>
    <row r="12" spans="1:46" x14ac:dyDescent="0.35">
      <c r="A12">
        <v>2301</v>
      </c>
      <c r="B12" t="s">
        <v>668</v>
      </c>
      <c r="C12" t="s">
        <v>831</v>
      </c>
      <c r="D12" t="s">
        <v>829</v>
      </c>
      <c r="E12" s="5">
        <v>30610657</v>
      </c>
      <c r="G12" s="5">
        <v>7067607</v>
      </c>
      <c r="H12" s="5">
        <v>44320</v>
      </c>
      <c r="I12">
        <v>0</v>
      </c>
      <c r="K12" s="5">
        <v>914400</v>
      </c>
      <c r="L12" s="5">
        <v>914400</v>
      </c>
      <c r="M12">
        <v>0</v>
      </c>
      <c r="N12">
        <v>0</v>
      </c>
      <c r="O12">
        <v>0</v>
      </c>
      <c r="P12">
        <v>0</v>
      </c>
      <c r="Q12">
        <v>0</v>
      </c>
      <c r="R12">
        <v>0</v>
      </c>
      <c r="S12">
        <v>24299</v>
      </c>
      <c r="T12">
        <v>4350</v>
      </c>
      <c r="U12">
        <v>0</v>
      </c>
      <c r="V12">
        <v>0</v>
      </c>
      <c r="W12">
        <v>0</v>
      </c>
      <c r="Y12">
        <v>0</v>
      </c>
      <c r="AA12">
        <v>0</v>
      </c>
      <c r="AC12">
        <v>0</v>
      </c>
      <c r="AK12">
        <v>0</v>
      </c>
      <c r="AT12">
        <v>2</v>
      </c>
    </row>
    <row r="13" spans="1:46" x14ac:dyDescent="0.35">
      <c r="A13">
        <v>2601</v>
      </c>
      <c r="B13" t="s">
        <v>669</v>
      </c>
      <c r="C13" t="s">
        <v>832</v>
      </c>
      <c r="D13" t="s">
        <v>829</v>
      </c>
      <c r="E13" s="5">
        <v>1355213</v>
      </c>
      <c r="G13" s="5">
        <v>8500</v>
      </c>
      <c r="H13">
        <v>0</v>
      </c>
      <c r="I13">
        <v>0</v>
      </c>
      <c r="K13">
        <v>0</v>
      </c>
      <c r="S13">
        <v>0</v>
      </c>
      <c r="T13">
        <v>1542</v>
      </c>
      <c r="U13">
        <v>0</v>
      </c>
      <c r="V13">
        <v>0</v>
      </c>
      <c r="W13">
        <v>0</v>
      </c>
      <c r="Y13">
        <v>0</v>
      </c>
      <c r="AA13">
        <v>0</v>
      </c>
      <c r="AC13">
        <v>0</v>
      </c>
      <c r="AK13">
        <v>0</v>
      </c>
      <c r="AT13">
        <v>2</v>
      </c>
    </row>
    <row r="14" spans="1:46" x14ac:dyDescent="0.35">
      <c r="A14">
        <v>2605</v>
      </c>
      <c r="B14" t="s">
        <v>670</v>
      </c>
      <c r="C14" t="s">
        <v>833</v>
      </c>
      <c r="D14" t="s">
        <v>829</v>
      </c>
      <c r="E14" s="5">
        <v>1763551</v>
      </c>
      <c r="G14" s="5">
        <v>42549</v>
      </c>
      <c r="H14">
        <v>0</v>
      </c>
      <c r="I14">
        <v>0</v>
      </c>
      <c r="K14">
        <v>0</v>
      </c>
      <c r="L14">
        <v>0</v>
      </c>
      <c r="M14">
        <v>0</v>
      </c>
      <c r="N14">
        <v>0</v>
      </c>
      <c r="O14">
        <v>0</v>
      </c>
      <c r="P14">
        <v>0</v>
      </c>
      <c r="Q14">
        <v>0</v>
      </c>
      <c r="R14">
        <v>0</v>
      </c>
      <c r="S14">
        <v>0</v>
      </c>
      <c r="T14">
        <v>7577</v>
      </c>
      <c r="U14">
        <v>0</v>
      </c>
      <c r="V14">
        <v>0</v>
      </c>
      <c r="W14">
        <v>0</v>
      </c>
      <c r="Y14">
        <v>0</v>
      </c>
      <c r="AA14">
        <v>0</v>
      </c>
      <c r="AC14">
        <v>0</v>
      </c>
      <c r="AK14">
        <v>0</v>
      </c>
      <c r="AT14">
        <v>2</v>
      </c>
    </row>
    <row r="15" spans="1:46" x14ac:dyDescent="0.35">
      <c r="A15">
        <v>2611</v>
      </c>
      <c r="B15" t="s">
        <v>671</v>
      </c>
      <c r="C15" t="s">
        <v>835</v>
      </c>
      <c r="D15" t="s">
        <v>829</v>
      </c>
      <c r="E15" s="5">
        <v>1746251</v>
      </c>
      <c r="G15" s="5">
        <v>88949</v>
      </c>
      <c r="H15">
        <v>0</v>
      </c>
      <c r="I15">
        <v>0</v>
      </c>
      <c r="K15">
        <v>0</v>
      </c>
      <c r="L15">
        <v>0</v>
      </c>
      <c r="M15">
        <v>0</v>
      </c>
      <c r="N15">
        <v>0</v>
      </c>
      <c r="O15">
        <v>0</v>
      </c>
      <c r="P15">
        <v>0</v>
      </c>
      <c r="Q15">
        <v>0</v>
      </c>
      <c r="R15">
        <v>0</v>
      </c>
      <c r="S15">
        <v>1070</v>
      </c>
      <c r="T15">
        <v>1944</v>
      </c>
      <c r="U15">
        <v>0</v>
      </c>
      <c r="V15">
        <v>0</v>
      </c>
      <c r="W15">
        <v>0</v>
      </c>
      <c r="Y15">
        <v>0</v>
      </c>
      <c r="AA15">
        <v>0</v>
      </c>
      <c r="AC15">
        <v>0</v>
      </c>
      <c r="AK15">
        <v>0</v>
      </c>
      <c r="AT15">
        <v>2</v>
      </c>
    </row>
    <row r="16" spans="1:46" x14ac:dyDescent="0.35">
      <c r="A16">
        <v>2621</v>
      </c>
      <c r="B16" t="s">
        <v>672</v>
      </c>
      <c r="C16" t="s">
        <v>836</v>
      </c>
      <c r="D16" t="s">
        <v>829</v>
      </c>
      <c r="E16" s="5">
        <v>1143233</v>
      </c>
      <c r="G16" s="5">
        <v>9877</v>
      </c>
      <c r="H16">
        <v>0</v>
      </c>
      <c r="I16">
        <v>0</v>
      </c>
      <c r="K16">
        <v>0</v>
      </c>
      <c r="L16">
        <v>0</v>
      </c>
      <c r="M16">
        <v>0</v>
      </c>
      <c r="N16">
        <v>0</v>
      </c>
      <c r="O16">
        <v>0</v>
      </c>
      <c r="P16">
        <v>0</v>
      </c>
      <c r="Q16">
        <v>0</v>
      </c>
      <c r="R16">
        <v>0</v>
      </c>
      <c r="S16">
        <v>0</v>
      </c>
      <c r="T16">
        <v>5818</v>
      </c>
      <c r="U16">
        <v>0</v>
      </c>
      <c r="V16">
        <v>0</v>
      </c>
      <c r="W16">
        <v>0</v>
      </c>
      <c r="Y16">
        <v>0</v>
      </c>
      <c r="AA16">
        <v>0</v>
      </c>
      <c r="AC16">
        <v>0</v>
      </c>
      <c r="AK16">
        <v>0</v>
      </c>
      <c r="AT16">
        <v>2</v>
      </c>
    </row>
    <row r="17" spans="1:46" x14ac:dyDescent="0.35">
      <c r="A17">
        <v>2631</v>
      </c>
      <c r="B17" t="s">
        <v>673</v>
      </c>
      <c r="C17" t="s">
        <v>1133</v>
      </c>
      <c r="D17" t="s">
        <v>829</v>
      </c>
      <c r="U17">
        <v>474051</v>
      </c>
      <c r="V17">
        <v>53136</v>
      </c>
      <c r="W17">
        <v>3486</v>
      </c>
      <c r="AT17">
        <v>2</v>
      </c>
    </row>
    <row r="18" spans="1:46" x14ac:dyDescent="0.35">
      <c r="A18">
        <v>2635</v>
      </c>
      <c r="B18" t="s">
        <v>674</v>
      </c>
      <c r="C18" t="s">
        <v>838</v>
      </c>
      <c r="D18" t="s">
        <v>829</v>
      </c>
      <c r="E18" s="5">
        <v>1061289</v>
      </c>
      <c r="G18" s="5">
        <v>61602</v>
      </c>
      <c r="H18">
        <v>0</v>
      </c>
      <c r="I18">
        <v>0</v>
      </c>
      <c r="K18">
        <v>0</v>
      </c>
      <c r="L18">
        <v>0</v>
      </c>
      <c r="M18">
        <v>0</v>
      </c>
      <c r="N18">
        <v>0</v>
      </c>
      <c r="O18">
        <v>0</v>
      </c>
      <c r="P18">
        <v>0</v>
      </c>
      <c r="Q18">
        <v>0</v>
      </c>
      <c r="R18">
        <v>0</v>
      </c>
      <c r="S18">
        <v>0</v>
      </c>
      <c r="T18">
        <v>6605</v>
      </c>
      <c r="U18">
        <v>0</v>
      </c>
      <c r="V18">
        <v>0</v>
      </c>
      <c r="W18">
        <v>0</v>
      </c>
      <c r="Y18">
        <v>0</v>
      </c>
      <c r="AA18">
        <v>0</v>
      </c>
      <c r="AC18">
        <v>0</v>
      </c>
      <c r="AK18">
        <v>0</v>
      </c>
      <c r="AT18">
        <v>2</v>
      </c>
    </row>
    <row r="19" spans="1:46" x14ac:dyDescent="0.35">
      <c r="A19">
        <v>2651</v>
      </c>
      <c r="B19" t="s">
        <v>675</v>
      </c>
      <c r="C19" t="s">
        <v>1134</v>
      </c>
      <c r="D19" t="s">
        <v>829</v>
      </c>
      <c r="E19" s="5">
        <v>13237435</v>
      </c>
      <c r="F19" s="5">
        <v>13237435</v>
      </c>
      <c r="G19" s="5">
        <v>436884</v>
      </c>
      <c r="H19">
        <v>0</v>
      </c>
      <c r="I19">
        <v>0</v>
      </c>
      <c r="K19">
        <v>0</v>
      </c>
      <c r="Q19">
        <v>0</v>
      </c>
      <c r="R19">
        <v>0</v>
      </c>
      <c r="S19">
        <v>2166</v>
      </c>
      <c r="T19">
        <v>0</v>
      </c>
      <c r="U19">
        <v>14880284</v>
      </c>
      <c r="V19">
        <v>1241741</v>
      </c>
      <c r="W19">
        <v>174587</v>
      </c>
      <c r="X19" s="5">
        <v>11090183</v>
      </c>
      <c r="Y19">
        <v>0</v>
      </c>
      <c r="AA19" s="5">
        <v>2561191</v>
      </c>
      <c r="AC19" s="5">
        <v>269574</v>
      </c>
      <c r="AD19" s="5">
        <v>80000</v>
      </c>
      <c r="AE19" s="5">
        <v>101434</v>
      </c>
      <c r="AF19" s="5">
        <v>88140</v>
      </c>
      <c r="AG19">
        <v>0</v>
      </c>
      <c r="AH19">
        <v>0</v>
      </c>
      <c r="AI19" s="5">
        <v>11095000</v>
      </c>
      <c r="AK19" s="5">
        <v>18989060</v>
      </c>
      <c r="AL19" s="5">
        <v>18989060</v>
      </c>
      <c r="AM19">
        <v>0</v>
      </c>
      <c r="AN19">
        <v>0</v>
      </c>
      <c r="AQ19" s="5">
        <v>4272077</v>
      </c>
      <c r="AT19">
        <v>2</v>
      </c>
    </row>
    <row r="20" spans="1:46" x14ac:dyDescent="0.35">
      <c r="A20">
        <v>2653</v>
      </c>
      <c r="B20" t="s">
        <v>676</v>
      </c>
      <c r="C20" t="s">
        <v>839</v>
      </c>
      <c r="D20" t="s">
        <v>829</v>
      </c>
      <c r="E20" s="5">
        <v>2881172</v>
      </c>
      <c r="G20" s="5">
        <v>431804</v>
      </c>
      <c r="H20">
        <v>0</v>
      </c>
      <c r="I20">
        <v>0</v>
      </c>
      <c r="K20">
        <v>0</v>
      </c>
      <c r="L20">
        <v>0</v>
      </c>
      <c r="M20">
        <v>0</v>
      </c>
      <c r="N20">
        <v>0</v>
      </c>
      <c r="O20">
        <v>0</v>
      </c>
      <c r="P20">
        <v>0</v>
      </c>
      <c r="Q20">
        <v>0</v>
      </c>
      <c r="R20">
        <v>0</v>
      </c>
      <c r="S20">
        <v>1567</v>
      </c>
      <c r="T20">
        <v>3709</v>
      </c>
      <c r="U20">
        <v>0</v>
      </c>
      <c r="V20">
        <v>0</v>
      </c>
      <c r="W20">
        <v>0</v>
      </c>
      <c r="Y20">
        <v>0</v>
      </c>
      <c r="AA20">
        <v>0</v>
      </c>
      <c r="AC20">
        <v>0</v>
      </c>
      <c r="AK20">
        <v>0</v>
      </c>
      <c r="AT20">
        <v>2</v>
      </c>
    </row>
    <row r="21" spans="1:46" x14ac:dyDescent="0.35">
      <c r="A21">
        <v>2655</v>
      </c>
      <c r="B21" t="s">
        <v>677</v>
      </c>
      <c r="C21" t="s">
        <v>834</v>
      </c>
      <c r="D21" t="s">
        <v>829</v>
      </c>
      <c r="E21" s="5">
        <v>627764</v>
      </c>
      <c r="G21" s="5">
        <v>30114</v>
      </c>
      <c r="H21">
        <v>0</v>
      </c>
      <c r="I21">
        <v>0</v>
      </c>
      <c r="K21">
        <v>0</v>
      </c>
      <c r="L21">
        <v>0</v>
      </c>
      <c r="M21">
        <v>0</v>
      </c>
      <c r="N21">
        <v>0</v>
      </c>
      <c r="O21">
        <v>0</v>
      </c>
      <c r="P21">
        <v>0</v>
      </c>
      <c r="Q21">
        <v>0</v>
      </c>
      <c r="R21">
        <v>0</v>
      </c>
      <c r="S21">
        <v>0</v>
      </c>
      <c r="T21">
        <v>4056</v>
      </c>
      <c r="U21">
        <v>0</v>
      </c>
      <c r="V21">
        <v>0</v>
      </c>
      <c r="W21">
        <v>0</v>
      </c>
      <c r="Y21">
        <v>0</v>
      </c>
      <c r="AA21">
        <v>0</v>
      </c>
      <c r="AC21">
        <v>0</v>
      </c>
      <c r="AK21">
        <v>0</v>
      </c>
      <c r="AT21">
        <v>2</v>
      </c>
    </row>
    <row r="22" spans="1:46" x14ac:dyDescent="0.35">
      <c r="A22">
        <v>2672</v>
      </c>
      <c r="B22" t="s">
        <v>678</v>
      </c>
      <c r="C22" t="s">
        <v>1135</v>
      </c>
      <c r="D22" t="s">
        <v>829</v>
      </c>
      <c r="E22" s="5">
        <v>2091662</v>
      </c>
      <c r="F22" s="5">
        <v>2091662</v>
      </c>
      <c r="G22" s="5">
        <v>260622</v>
      </c>
      <c r="K22">
        <v>0</v>
      </c>
      <c r="L22">
        <v>0</v>
      </c>
      <c r="M22">
        <v>0</v>
      </c>
      <c r="N22">
        <v>0</v>
      </c>
      <c r="O22">
        <v>0</v>
      </c>
      <c r="P22">
        <v>0</v>
      </c>
      <c r="S22">
        <v>1385</v>
      </c>
      <c r="T22">
        <v>5365</v>
      </c>
      <c r="U22">
        <v>3271814</v>
      </c>
      <c r="V22">
        <v>242220</v>
      </c>
      <c r="W22">
        <v>30695</v>
      </c>
      <c r="X22" s="5">
        <v>1794089</v>
      </c>
      <c r="Y22">
        <v>0</v>
      </c>
      <c r="AA22">
        <v>0</v>
      </c>
      <c r="AC22" s="5">
        <v>191433</v>
      </c>
      <c r="AD22">
        <v>0</v>
      </c>
      <c r="AE22" s="5">
        <v>191433</v>
      </c>
      <c r="AF22">
        <v>0</v>
      </c>
      <c r="AG22">
        <v>0</v>
      </c>
      <c r="AH22">
        <v>0</v>
      </c>
      <c r="AI22">
        <v>0</v>
      </c>
      <c r="AK22">
        <v>0</v>
      </c>
      <c r="AM22">
        <v>0</v>
      </c>
      <c r="AN22">
        <v>0</v>
      </c>
      <c r="AO22">
        <v>0</v>
      </c>
      <c r="AT22">
        <v>2</v>
      </c>
    </row>
    <row r="23" spans="1:46" x14ac:dyDescent="0.35">
      <c r="A23">
        <v>2681</v>
      </c>
      <c r="B23" t="s">
        <v>679</v>
      </c>
      <c r="C23" t="s">
        <v>1136</v>
      </c>
      <c r="D23" t="s">
        <v>829</v>
      </c>
      <c r="E23" s="5">
        <v>911646</v>
      </c>
      <c r="F23" s="5">
        <v>911646</v>
      </c>
      <c r="G23" s="5">
        <v>148642</v>
      </c>
      <c r="K23">
        <v>0</v>
      </c>
      <c r="L23">
        <v>0</v>
      </c>
      <c r="M23">
        <v>0</v>
      </c>
      <c r="N23">
        <v>0</v>
      </c>
      <c r="O23">
        <v>0</v>
      </c>
      <c r="P23">
        <v>0</v>
      </c>
      <c r="S23">
        <v>15</v>
      </c>
      <c r="T23">
        <v>2351</v>
      </c>
      <c r="U23">
        <v>1041974</v>
      </c>
      <c r="V23">
        <v>105026</v>
      </c>
      <c r="W23">
        <v>4819</v>
      </c>
      <c r="X23" s="5">
        <v>956013</v>
      </c>
      <c r="Y23">
        <v>0</v>
      </c>
      <c r="AA23">
        <v>0</v>
      </c>
      <c r="AC23">
        <v>0</v>
      </c>
      <c r="AD23">
        <v>0</v>
      </c>
      <c r="AE23">
        <v>0</v>
      </c>
      <c r="AF23">
        <v>0</v>
      </c>
      <c r="AG23">
        <v>0</v>
      </c>
      <c r="AH23">
        <v>0</v>
      </c>
      <c r="AI23" s="5">
        <v>34297</v>
      </c>
      <c r="AK23">
        <v>0</v>
      </c>
      <c r="AM23">
        <v>0</v>
      </c>
      <c r="AN23">
        <v>0</v>
      </c>
      <c r="AO23">
        <v>0</v>
      </c>
      <c r="AT23">
        <v>2</v>
      </c>
    </row>
    <row r="24" spans="1:46" x14ac:dyDescent="0.35">
      <c r="A24">
        <v>2731</v>
      </c>
      <c r="B24" t="s">
        <v>680</v>
      </c>
      <c r="C24" t="s">
        <v>842</v>
      </c>
      <c r="D24" t="s">
        <v>829</v>
      </c>
      <c r="E24" s="5">
        <v>1261404</v>
      </c>
      <c r="G24" s="5">
        <v>152485</v>
      </c>
      <c r="H24">
        <v>0</v>
      </c>
      <c r="I24">
        <v>0</v>
      </c>
      <c r="K24">
        <v>0</v>
      </c>
      <c r="L24">
        <v>0</v>
      </c>
      <c r="M24">
        <v>0</v>
      </c>
      <c r="N24">
        <v>0</v>
      </c>
      <c r="O24">
        <v>0</v>
      </c>
      <c r="P24">
        <v>0</v>
      </c>
      <c r="Q24">
        <v>0</v>
      </c>
      <c r="R24">
        <v>0</v>
      </c>
      <c r="S24">
        <v>60</v>
      </c>
      <c r="T24">
        <v>3105</v>
      </c>
      <c r="U24">
        <v>0</v>
      </c>
      <c r="V24">
        <v>0</v>
      </c>
      <c r="W24">
        <v>0</v>
      </c>
      <c r="Y24">
        <v>0</v>
      </c>
      <c r="AA24">
        <v>0</v>
      </c>
      <c r="AC24">
        <v>0</v>
      </c>
      <c r="AK24">
        <v>0</v>
      </c>
      <c r="AT24">
        <v>2</v>
      </c>
    </row>
    <row r="25" spans="1:46" x14ac:dyDescent="0.35">
      <c r="A25">
        <v>2751</v>
      </c>
      <c r="B25" t="s">
        <v>681</v>
      </c>
      <c r="C25" t="s">
        <v>843</v>
      </c>
      <c r="D25" t="s">
        <v>829</v>
      </c>
      <c r="E25" s="5">
        <v>2633300</v>
      </c>
      <c r="G25" s="5">
        <v>141731</v>
      </c>
      <c r="H25">
        <v>0</v>
      </c>
      <c r="I25">
        <v>0</v>
      </c>
      <c r="K25" s="5">
        <v>2524</v>
      </c>
      <c r="L25">
        <v>0</v>
      </c>
      <c r="M25" s="5">
        <v>2524</v>
      </c>
      <c r="N25">
        <v>0</v>
      </c>
      <c r="O25">
        <v>0</v>
      </c>
      <c r="P25">
        <v>0</v>
      </c>
      <c r="Q25">
        <v>0</v>
      </c>
      <c r="R25">
        <v>0</v>
      </c>
      <c r="S25">
        <v>255</v>
      </c>
      <c r="T25">
        <v>11832</v>
      </c>
      <c r="U25">
        <v>0</v>
      </c>
      <c r="V25">
        <v>0</v>
      </c>
      <c r="W25">
        <v>0</v>
      </c>
      <c r="Y25">
        <v>0</v>
      </c>
      <c r="AA25">
        <v>0</v>
      </c>
      <c r="AC25">
        <v>0</v>
      </c>
      <c r="AK25">
        <v>0</v>
      </c>
      <c r="AT25">
        <v>2</v>
      </c>
    </row>
    <row r="26" spans="1:46" x14ac:dyDescent="0.35">
      <c r="A26">
        <v>2753</v>
      </c>
      <c r="B26" t="s">
        <v>682</v>
      </c>
      <c r="C26" t="s">
        <v>1137</v>
      </c>
      <c r="D26" t="s">
        <v>829</v>
      </c>
      <c r="F26" s="5">
        <v>2087243</v>
      </c>
      <c r="K26">
        <v>0</v>
      </c>
      <c r="S26">
        <v>0</v>
      </c>
      <c r="T26">
        <v>0</v>
      </c>
      <c r="U26">
        <v>2734164</v>
      </c>
      <c r="V26">
        <v>226471</v>
      </c>
      <c r="W26">
        <v>21150</v>
      </c>
      <c r="X26" s="5">
        <v>2236356</v>
      </c>
      <c r="Y26">
        <v>0</v>
      </c>
      <c r="AA26" s="5">
        <v>420887</v>
      </c>
      <c r="AC26" s="5">
        <v>46006</v>
      </c>
      <c r="AD26">
        <v>0</v>
      </c>
      <c r="AE26" s="5">
        <v>46006</v>
      </c>
      <c r="AF26">
        <v>0</v>
      </c>
      <c r="AG26">
        <v>0</v>
      </c>
      <c r="AH26">
        <v>0</v>
      </c>
      <c r="AI26" s="5">
        <v>44851</v>
      </c>
      <c r="AK26">
        <v>0</v>
      </c>
      <c r="AL26">
        <v>0</v>
      </c>
      <c r="AM26">
        <v>0</v>
      </c>
      <c r="AN26">
        <v>0</v>
      </c>
      <c r="AO26">
        <v>0</v>
      </c>
      <c r="AQ26" s="5">
        <v>328263</v>
      </c>
      <c r="AT26">
        <v>2</v>
      </c>
    </row>
    <row r="27" spans="1:46" x14ac:dyDescent="0.35">
      <c r="A27">
        <v>2771</v>
      </c>
      <c r="B27" t="s">
        <v>683</v>
      </c>
      <c r="C27" t="s">
        <v>844</v>
      </c>
      <c r="D27" t="s">
        <v>829</v>
      </c>
      <c r="E27" s="5">
        <v>2173886</v>
      </c>
      <c r="F27" s="5">
        <v>2173886</v>
      </c>
      <c r="G27" s="5">
        <v>1063436</v>
      </c>
      <c r="H27">
        <v>0</v>
      </c>
      <c r="I27">
        <v>0</v>
      </c>
      <c r="K27">
        <v>0</v>
      </c>
      <c r="L27">
        <v>0</v>
      </c>
      <c r="M27">
        <v>0</v>
      </c>
      <c r="N27">
        <v>0</v>
      </c>
      <c r="O27">
        <v>0</v>
      </c>
      <c r="P27">
        <v>0</v>
      </c>
      <c r="Q27">
        <v>0</v>
      </c>
      <c r="R27">
        <v>0</v>
      </c>
      <c r="S27">
        <v>3981</v>
      </c>
      <c r="T27">
        <v>1082</v>
      </c>
      <c r="U27">
        <v>1977693</v>
      </c>
      <c r="V27">
        <v>241207</v>
      </c>
      <c r="W27">
        <v>48280</v>
      </c>
      <c r="X27" s="5">
        <v>1575001</v>
      </c>
      <c r="Y27" s="5">
        <v>365374</v>
      </c>
      <c r="AA27">
        <v>0</v>
      </c>
      <c r="AC27" s="5">
        <v>180028</v>
      </c>
      <c r="AD27" s="5">
        <v>180028</v>
      </c>
      <c r="AE27">
        <v>0</v>
      </c>
      <c r="AF27">
        <v>0</v>
      </c>
      <c r="AG27">
        <v>0</v>
      </c>
      <c r="AH27">
        <v>0</v>
      </c>
      <c r="AI27">
        <v>0</v>
      </c>
      <c r="AK27">
        <v>0</v>
      </c>
      <c r="AL27">
        <v>0</v>
      </c>
      <c r="AM27">
        <v>0</v>
      </c>
      <c r="AO27">
        <v>0</v>
      </c>
      <c r="AP27">
        <v>0</v>
      </c>
      <c r="AQ27">
        <v>0</v>
      </c>
      <c r="AR27" s="5">
        <v>1744000</v>
      </c>
      <c r="AS27">
        <v>0</v>
      </c>
      <c r="AT27">
        <v>2</v>
      </c>
    </row>
    <row r="28" spans="1:46" x14ac:dyDescent="0.35">
      <c r="A28">
        <v>2791</v>
      </c>
      <c r="B28" t="s">
        <v>684</v>
      </c>
      <c r="C28" t="s">
        <v>845</v>
      </c>
      <c r="D28" t="s">
        <v>829</v>
      </c>
      <c r="E28" s="5">
        <v>596314</v>
      </c>
      <c r="F28" s="5">
        <v>596314</v>
      </c>
      <c r="G28" s="5">
        <v>279684</v>
      </c>
      <c r="H28">
        <v>0</v>
      </c>
      <c r="I28">
        <v>0</v>
      </c>
      <c r="K28">
        <v>0</v>
      </c>
      <c r="L28">
        <v>0</v>
      </c>
      <c r="M28">
        <v>0</v>
      </c>
      <c r="N28">
        <v>0</v>
      </c>
      <c r="O28">
        <v>0</v>
      </c>
      <c r="P28">
        <v>0</v>
      </c>
      <c r="Q28">
        <v>0</v>
      </c>
      <c r="R28">
        <v>0</v>
      </c>
      <c r="S28">
        <v>375</v>
      </c>
      <c r="T28">
        <v>519</v>
      </c>
      <c r="U28">
        <v>591040</v>
      </c>
      <c r="V28">
        <v>59802</v>
      </c>
      <c r="W28">
        <v>9241</v>
      </c>
      <c r="X28" s="5">
        <v>688584</v>
      </c>
      <c r="Y28">
        <v>0</v>
      </c>
      <c r="AA28">
        <v>0</v>
      </c>
      <c r="AC28">
        <v>0</v>
      </c>
      <c r="AD28">
        <v>0</v>
      </c>
      <c r="AE28">
        <v>0</v>
      </c>
      <c r="AF28">
        <v>0</v>
      </c>
      <c r="AG28">
        <v>0</v>
      </c>
      <c r="AH28">
        <v>0</v>
      </c>
      <c r="AI28">
        <v>0</v>
      </c>
      <c r="AK28">
        <v>0</v>
      </c>
      <c r="AL28">
        <v>0</v>
      </c>
      <c r="AM28">
        <v>0</v>
      </c>
      <c r="AN28">
        <v>0</v>
      </c>
      <c r="AO28">
        <v>0</v>
      </c>
      <c r="AQ28">
        <v>0</v>
      </c>
      <c r="AT28">
        <v>2</v>
      </c>
    </row>
    <row r="29" spans="1:46" x14ac:dyDescent="0.35">
      <c r="A29">
        <v>2801</v>
      </c>
      <c r="B29" t="s">
        <v>685</v>
      </c>
      <c r="C29" t="s">
        <v>846</v>
      </c>
      <c r="D29" t="s">
        <v>829</v>
      </c>
      <c r="E29" s="5">
        <v>2783724</v>
      </c>
      <c r="G29" s="5">
        <v>172664</v>
      </c>
      <c r="H29">
        <v>0</v>
      </c>
      <c r="I29">
        <v>0</v>
      </c>
      <c r="K29">
        <v>0</v>
      </c>
      <c r="L29">
        <v>0</v>
      </c>
      <c r="M29">
        <v>0</v>
      </c>
      <c r="N29">
        <v>0</v>
      </c>
      <c r="O29">
        <v>0</v>
      </c>
      <c r="P29">
        <v>0</v>
      </c>
      <c r="Q29">
        <v>0</v>
      </c>
      <c r="R29">
        <v>0</v>
      </c>
      <c r="S29">
        <v>9793</v>
      </c>
      <c r="T29">
        <v>1289</v>
      </c>
      <c r="U29">
        <v>0</v>
      </c>
      <c r="V29">
        <v>0</v>
      </c>
      <c r="W29">
        <v>0</v>
      </c>
      <c r="Y29">
        <v>0</v>
      </c>
      <c r="AA29">
        <v>0</v>
      </c>
      <c r="AC29">
        <v>0</v>
      </c>
      <c r="AK29">
        <v>0</v>
      </c>
      <c r="AT29">
        <v>2</v>
      </c>
    </row>
    <row r="30" spans="1:46" x14ac:dyDescent="0.35">
      <c r="A30">
        <v>2803</v>
      </c>
      <c r="B30" t="s">
        <v>686</v>
      </c>
      <c r="C30" t="s">
        <v>1138</v>
      </c>
      <c r="D30" t="s">
        <v>829</v>
      </c>
      <c r="F30" s="5">
        <v>4935031</v>
      </c>
      <c r="K30">
        <v>0</v>
      </c>
      <c r="L30">
        <v>0</v>
      </c>
      <c r="M30">
        <v>0</v>
      </c>
      <c r="N30">
        <v>0</v>
      </c>
      <c r="O30">
        <v>0</v>
      </c>
      <c r="P30">
        <v>0</v>
      </c>
      <c r="Q30">
        <v>0</v>
      </c>
      <c r="R30">
        <v>0</v>
      </c>
      <c r="S30">
        <v>0</v>
      </c>
      <c r="T30">
        <v>0</v>
      </c>
      <c r="U30">
        <v>5874455</v>
      </c>
      <c r="V30">
        <v>531188</v>
      </c>
      <c r="W30">
        <v>80035</v>
      </c>
      <c r="X30" s="5">
        <v>5011000</v>
      </c>
      <c r="Y30">
        <v>1</v>
      </c>
      <c r="AA30" s="5">
        <v>1373000</v>
      </c>
      <c r="AC30" s="5">
        <v>184440</v>
      </c>
      <c r="AD30">
        <v>0</v>
      </c>
      <c r="AE30">
        <v>0</v>
      </c>
      <c r="AF30" s="5">
        <v>184440</v>
      </c>
      <c r="AG30">
        <v>0</v>
      </c>
      <c r="AH30">
        <v>0</v>
      </c>
      <c r="AI30" s="5">
        <v>1818520</v>
      </c>
      <c r="AK30">
        <v>0</v>
      </c>
      <c r="AL30">
        <v>0</v>
      </c>
      <c r="AM30">
        <v>0</v>
      </c>
      <c r="AN30">
        <v>0</v>
      </c>
      <c r="AO30">
        <v>0</v>
      </c>
      <c r="AQ30" s="5">
        <v>1071588</v>
      </c>
      <c r="AT30">
        <v>2</v>
      </c>
    </row>
    <row r="31" spans="1:46" x14ac:dyDescent="0.35">
      <c r="A31">
        <v>2821</v>
      </c>
      <c r="B31" t="s">
        <v>687</v>
      </c>
      <c r="C31" t="s">
        <v>847</v>
      </c>
      <c r="D31" t="s">
        <v>829</v>
      </c>
      <c r="E31" s="5">
        <v>3425650</v>
      </c>
      <c r="G31" s="5">
        <v>865894</v>
      </c>
      <c r="H31">
        <v>0</v>
      </c>
      <c r="I31">
        <v>0</v>
      </c>
      <c r="K31" s="5">
        <v>147740</v>
      </c>
      <c r="L31" s="5">
        <v>64000</v>
      </c>
      <c r="M31" s="5">
        <v>83740</v>
      </c>
      <c r="N31">
        <v>0</v>
      </c>
      <c r="O31">
        <v>0</v>
      </c>
      <c r="P31">
        <v>0</v>
      </c>
      <c r="Q31">
        <v>0</v>
      </c>
      <c r="R31">
        <v>0</v>
      </c>
      <c r="S31">
        <v>31022</v>
      </c>
      <c r="T31">
        <v>977</v>
      </c>
      <c r="U31">
        <v>0</v>
      </c>
      <c r="V31">
        <v>0</v>
      </c>
      <c r="W31">
        <v>0</v>
      </c>
      <c r="Y31">
        <v>0</v>
      </c>
      <c r="AA31">
        <v>0</v>
      </c>
      <c r="AC31">
        <v>0</v>
      </c>
      <c r="AK31">
        <v>0</v>
      </c>
      <c r="AT31">
        <v>2</v>
      </c>
    </row>
    <row r="32" spans="1:46" x14ac:dyDescent="0.35">
      <c r="A32">
        <v>2823</v>
      </c>
      <c r="B32" t="s">
        <v>688</v>
      </c>
      <c r="C32" t="s">
        <v>848</v>
      </c>
      <c r="D32" t="s">
        <v>829</v>
      </c>
      <c r="E32" s="5">
        <v>3213110</v>
      </c>
      <c r="G32" s="5">
        <v>387434</v>
      </c>
      <c r="H32">
        <v>0</v>
      </c>
      <c r="I32">
        <v>0</v>
      </c>
      <c r="K32" s="5">
        <v>6899</v>
      </c>
      <c r="L32">
        <v>0</v>
      </c>
      <c r="M32" s="5">
        <v>6899</v>
      </c>
      <c r="N32">
        <v>0</v>
      </c>
      <c r="O32">
        <v>0</v>
      </c>
      <c r="P32">
        <v>0</v>
      </c>
      <c r="Q32">
        <v>0</v>
      </c>
      <c r="R32">
        <v>0</v>
      </c>
      <c r="S32">
        <v>3152</v>
      </c>
      <c r="T32">
        <v>1681</v>
      </c>
      <c r="U32">
        <v>0</v>
      </c>
      <c r="V32">
        <v>0</v>
      </c>
      <c r="W32">
        <v>0</v>
      </c>
      <c r="Y32">
        <v>0</v>
      </c>
      <c r="AA32">
        <v>0</v>
      </c>
      <c r="AC32">
        <v>0</v>
      </c>
      <c r="AK32">
        <v>0</v>
      </c>
      <c r="AT32">
        <v>2</v>
      </c>
    </row>
    <row r="33" spans="1:46" x14ac:dyDescent="0.35">
      <c r="A33">
        <v>2841</v>
      </c>
      <c r="B33" t="s">
        <v>689</v>
      </c>
      <c r="C33" t="s">
        <v>850</v>
      </c>
      <c r="D33" t="s">
        <v>829</v>
      </c>
      <c r="E33" s="5">
        <v>2458211</v>
      </c>
      <c r="F33" s="5">
        <v>1511607</v>
      </c>
      <c r="G33" s="5">
        <v>1154374</v>
      </c>
      <c r="H33">
        <v>0</v>
      </c>
      <c r="I33">
        <v>0</v>
      </c>
      <c r="K33" s="5">
        <v>20556</v>
      </c>
      <c r="L33">
        <v>0</v>
      </c>
      <c r="M33" s="5">
        <v>20556</v>
      </c>
      <c r="N33">
        <v>0</v>
      </c>
      <c r="O33">
        <v>0</v>
      </c>
      <c r="P33">
        <v>0</v>
      </c>
      <c r="Q33">
        <v>0</v>
      </c>
      <c r="R33">
        <v>0</v>
      </c>
      <c r="S33">
        <v>16585</v>
      </c>
      <c r="T33">
        <v>1489</v>
      </c>
      <c r="U33">
        <v>2059414</v>
      </c>
      <c r="V33">
        <v>204561</v>
      </c>
      <c r="W33">
        <v>18610</v>
      </c>
      <c r="X33" s="5">
        <v>1414637</v>
      </c>
      <c r="Y33">
        <v>0</v>
      </c>
      <c r="AA33">
        <v>0</v>
      </c>
      <c r="AC33" s="5">
        <v>41434</v>
      </c>
      <c r="AD33">
        <v>0</v>
      </c>
      <c r="AE33" s="5">
        <v>41434</v>
      </c>
      <c r="AF33">
        <v>0</v>
      </c>
      <c r="AG33">
        <v>0</v>
      </c>
      <c r="AH33">
        <v>0</v>
      </c>
      <c r="AI33">
        <v>0</v>
      </c>
      <c r="AK33">
        <v>0</v>
      </c>
      <c r="AL33">
        <v>0</v>
      </c>
      <c r="AM33">
        <v>0</v>
      </c>
      <c r="AN33">
        <v>0</v>
      </c>
      <c r="AO33">
        <v>0</v>
      </c>
      <c r="AQ33">
        <v>0</v>
      </c>
      <c r="AT33">
        <v>2</v>
      </c>
    </row>
    <row r="34" spans="1:46" x14ac:dyDescent="0.35">
      <c r="A34">
        <v>2971</v>
      </c>
      <c r="B34" t="s">
        <v>690</v>
      </c>
      <c r="C34" t="s">
        <v>851</v>
      </c>
      <c r="D34" t="s">
        <v>829</v>
      </c>
      <c r="E34" s="5">
        <v>1157828</v>
      </c>
      <c r="F34" s="5">
        <v>1633731</v>
      </c>
      <c r="G34" s="5">
        <v>352183</v>
      </c>
      <c r="H34">
        <v>0</v>
      </c>
      <c r="I34">
        <v>0</v>
      </c>
      <c r="K34" s="5">
        <v>6271</v>
      </c>
      <c r="L34">
        <v>0</v>
      </c>
      <c r="M34" s="5">
        <v>6271</v>
      </c>
      <c r="N34">
        <v>0</v>
      </c>
      <c r="O34">
        <v>0</v>
      </c>
      <c r="P34">
        <v>0</v>
      </c>
      <c r="Q34">
        <v>0</v>
      </c>
      <c r="R34">
        <v>0</v>
      </c>
      <c r="S34">
        <v>1437</v>
      </c>
      <c r="T34">
        <v>1383</v>
      </c>
      <c r="U34">
        <v>1933568</v>
      </c>
      <c r="V34">
        <v>177969</v>
      </c>
      <c r="W34">
        <v>21389</v>
      </c>
      <c r="X34" s="5">
        <v>1360469</v>
      </c>
      <c r="Y34">
        <v>0</v>
      </c>
      <c r="AA34" s="5">
        <v>406241</v>
      </c>
      <c r="AC34" s="5">
        <v>23995</v>
      </c>
      <c r="AD34">
        <v>0</v>
      </c>
      <c r="AE34" s="5">
        <v>23995</v>
      </c>
      <c r="AF34">
        <v>0</v>
      </c>
      <c r="AG34">
        <v>0</v>
      </c>
      <c r="AH34">
        <v>0</v>
      </c>
      <c r="AI34" s="5">
        <v>335644</v>
      </c>
      <c r="AK34">
        <v>0</v>
      </c>
      <c r="AL34">
        <v>0</v>
      </c>
      <c r="AM34">
        <v>0</v>
      </c>
      <c r="AN34">
        <v>0</v>
      </c>
      <c r="AO34">
        <v>0</v>
      </c>
      <c r="AQ34" s="5">
        <v>399561</v>
      </c>
      <c r="AT34">
        <v>2</v>
      </c>
    </row>
    <row r="35" spans="1:46" x14ac:dyDescent="0.35">
      <c r="A35">
        <v>3001</v>
      </c>
      <c r="B35" t="s">
        <v>691</v>
      </c>
      <c r="C35" t="s">
        <v>852</v>
      </c>
      <c r="D35" t="s">
        <v>829</v>
      </c>
      <c r="E35" s="5">
        <v>2930348</v>
      </c>
      <c r="F35" s="5">
        <v>2930348</v>
      </c>
      <c r="G35" s="5">
        <v>707258</v>
      </c>
      <c r="H35">
        <v>0</v>
      </c>
      <c r="I35">
        <v>0</v>
      </c>
      <c r="K35" s="5">
        <v>90184</v>
      </c>
      <c r="L35" s="5">
        <v>90184</v>
      </c>
      <c r="M35">
        <v>0</v>
      </c>
      <c r="N35">
        <v>0</v>
      </c>
      <c r="O35">
        <v>0</v>
      </c>
      <c r="P35">
        <v>0</v>
      </c>
      <c r="Q35">
        <v>0</v>
      </c>
      <c r="R35">
        <v>0</v>
      </c>
      <c r="S35">
        <v>7413</v>
      </c>
      <c r="T35">
        <v>3007</v>
      </c>
      <c r="U35">
        <v>3627173</v>
      </c>
      <c r="V35">
        <v>269647</v>
      </c>
      <c r="W35">
        <v>51275</v>
      </c>
      <c r="X35" s="5">
        <v>2762934</v>
      </c>
      <c r="Y35" s="5">
        <v>8914</v>
      </c>
      <c r="AA35" s="5">
        <v>433713</v>
      </c>
      <c r="AC35" s="5">
        <v>432333</v>
      </c>
      <c r="AD35" s="5">
        <v>143790</v>
      </c>
      <c r="AE35" s="5">
        <v>288543</v>
      </c>
      <c r="AF35">
        <v>0</v>
      </c>
      <c r="AG35">
        <v>0</v>
      </c>
      <c r="AH35">
        <v>0</v>
      </c>
      <c r="AI35" s="5">
        <v>3288318</v>
      </c>
      <c r="AK35">
        <v>0</v>
      </c>
      <c r="AL35">
        <v>0</v>
      </c>
      <c r="AM35">
        <v>0</v>
      </c>
      <c r="AN35">
        <v>0</v>
      </c>
      <c r="AO35">
        <v>0</v>
      </c>
      <c r="AP35">
        <v>0</v>
      </c>
      <c r="AQ35" s="5">
        <v>298938</v>
      </c>
      <c r="AR35">
        <v>0</v>
      </c>
      <c r="AS35">
        <v>0</v>
      </c>
      <c r="AT35">
        <v>2</v>
      </c>
    </row>
    <row r="36" spans="1:46" x14ac:dyDescent="0.35">
      <c r="A36">
        <v>3231</v>
      </c>
      <c r="B36" t="s">
        <v>692</v>
      </c>
      <c r="C36" t="s">
        <v>1139</v>
      </c>
      <c r="D36" t="s">
        <v>829</v>
      </c>
      <c r="E36" s="5">
        <v>1770266</v>
      </c>
      <c r="F36" s="5">
        <v>1770266</v>
      </c>
      <c r="G36" s="5">
        <v>1940000</v>
      </c>
      <c r="H36">
        <v>0</v>
      </c>
      <c r="I36">
        <v>0</v>
      </c>
      <c r="K36" s="5">
        <v>104718</v>
      </c>
      <c r="L36">
        <v>0</v>
      </c>
      <c r="M36" s="5">
        <v>60038</v>
      </c>
      <c r="N36" s="5">
        <v>44680</v>
      </c>
      <c r="O36">
        <v>0</v>
      </c>
      <c r="P36">
        <v>0</v>
      </c>
      <c r="Q36">
        <v>0</v>
      </c>
      <c r="R36">
        <v>0</v>
      </c>
      <c r="S36">
        <v>1758</v>
      </c>
      <c r="T36">
        <v>2299</v>
      </c>
      <c r="U36">
        <v>2789259</v>
      </c>
      <c r="V36">
        <v>207919</v>
      </c>
      <c r="W36">
        <v>25293</v>
      </c>
      <c r="X36" s="5">
        <v>3600000</v>
      </c>
      <c r="Y36">
        <v>0</v>
      </c>
      <c r="AA36">
        <v>0</v>
      </c>
      <c r="AC36" s="5">
        <v>60736</v>
      </c>
      <c r="AD36">
        <v>0</v>
      </c>
      <c r="AE36" s="5">
        <v>34822</v>
      </c>
      <c r="AF36" s="5">
        <v>25914</v>
      </c>
      <c r="AG36">
        <v>0</v>
      </c>
      <c r="AH36">
        <v>0</v>
      </c>
      <c r="AI36">
        <v>0</v>
      </c>
      <c r="AK36">
        <v>0</v>
      </c>
      <c r="AL36">
        <v>0</v>
      </c>
      <c r="AM36">
        <v>0</v>
      </c>
      <c r="AN36">
        <v>0</v>
      </c>
      <c r="AO36">
        <v>0</v>
      </c>
      <c r="AP36">
        <v>0</v>
      </c>
      <c r="AQ36">
        <v>0</v>
      </c>
      <c r="AR36">
        <v>0</v>
      </c>
      <c r="AS36">
        <v>0</v>
      </c>
      <c r="AT36">
        <v>2</v>
      </c>
    </row>
    <row r="37" spans="1:46" x14ac:dyDescent="0.35">
      <c r="A37">
        <v>3301</v>
      </c>
      <c r="B37" t="s">
        <v>693</v>
      </c>
      <c r="C37" t="s">
        <v>859</v>
      </c>
      <c r="D37" t="s">
        <v>829</v>
      </c>
      <c r="E37" s="5">
        <v>1269428</v>
      </c>
      <c r="F37" s="5">
        <v>1269428</v>
      </c>
      <c r="G37" s="5">
        <v>1570030</v>
      </c>
      <c r="H37" s="5">
        <v>99098</v>
      </c>
      <c r="I37" s="5">
        <v>71518</v>
      </c>
      <c r="K37" s="5">
        <v>26526</v>
      </c>
      <c r="L37" s="5">
        <v>26526</v>
      </c>
      <c r="M37">
        <v>0</v>
      </c>
      <c r="N37">
        <v>0</v>
      </c>
      <c r="O37">
        <v>0</v>
      </c>
      <c r="P37">
        <v>0</v>
      </c>
      <c r="Q37">
        <v>0</v>
      </c>
      <c r="R37">
        <v>0</v>
      </c>
      <c r="S37">
        <v>2828</v>
      </c>
      <c r="T37">
        <v>1984</v>
      </c>
      <c r="U37">
        <v>1204779</v>
      </c>
      <c r="V37">
        <v>102128</v>
      </c>
      <c r="W37">
        <v>21727</v>
      </c>
      <c r="X37" s="5">
        <v>1178862</v>
      </c>
      <c r="Y37" s="5">
        <v>135011</v>
      </c>
      <c r="AA37">
        <v>0</v>
      </c>
      <c r="AC37">
        <v>0</v>
      </c>
      <c r="AD37">
        <v>0</v>
      </c>
      <c r="AE37">
        <v>0</v>
      </c>
      <c r="AF37">
        <v>0</v>
      </c>
      <c r="AG37">
        <v>0</v>
      </c>
      <c r="AH37">
        <v>0</v>
      </c>
      <c r="AI37" s="5">
        <v>42700</v>
      </c>
      <c r="AK37">
        <v>0</v>
      </c>
      <c r="AL37">
        <v>0</v>
      </c>
      <c r="AM37">
        <v>0</v>
      </c>
      <c r="AN37">
        <v>0</v>
      </c>
      <c r="AO37">
        <v>0</v>
      </c>
      <c r="AP37">
        <v>0</v>
      </c>
      <c r="AQ37">
        <v>0</v>
      </c>
      <c r="AR37">
        <v>0</v>
      </c>
      <c r="AS37">
        <v>0</v>
      </c>
      <c r="AT37">
        <v>2</v>
      </c>
    </row>
    <row r="38" spans="1:46" x14ac:dyDescent="0.35">
      <c r="A38">
        <v>3401</v>
      </c>
      <c r="B38" t="s">
        <v>694</v>
      </c>
      <c r="C38" t="s">
        <v>861</v>
      </c>
      <c r="D38" t="s">
        <v>829</v>
      </c>
      <c r="E38" s="5">
        <v>2756751</v>
      </c>
      <c r="F38" s="5">
        <v>2754630</v>
      </c>
      <c r="G38" s="5">
        <v>2332033</v>
      </c>
      <c r="H38">
        <v>0</v>
      </c>
      <c r="I38">
        <v>0</v>
      </c>
      <c r="K38" s="5">
        <v>171937</v>
      </c>
      <c r="L38" s="5">
        <v>84299</v>
      </c>
      <c r="M38" s="5">
        <v>87638</v>
      </c>
      <c r="N38">
        <v>0</v>
      </c>
      <c r="O38">
        <v>0</v>
      </c>
      <c r="P38">
        <v>0</v>
      </c>
      <c r="Q38">
        <v>0</v>
      </c>
      <c r="R38">
        <v>0</v>
      </c>
      <c r="S38">
        <v>2791</v>
      </c>
      <c r="T38">
        <v>209</v>
      </c>
      <c r="U38">
        <v>3288733</v>
      </c>
      <c r="V38">
        <v>282157</v>
      </c>
      <c r="W38">
        <v>18635</v>
      </c>
      <c r="X38" s="5">
        <v>3253265</v>
      </c>
      <c r="Y38">
        <v>0</v>
      </c>
      <c r="AA38">
        <v>0</v>
      </c>
      <c r="AC38">
        <v>0</v>
      </c>
      <c r="AD38">
        <v>0</v>
      </c>
      <c r="AE38">
        <v>0</v>
      </c>
      <c r="AF38">
        <v>0</v>
      </c>
      <c r="AG38">
        <v>0</v>
      </c>
      <c r="AH38">
        <v>0</v>
      </c>
      <c r="AI38" s="5">
        <v>1445000</v>
      </c>
      <c r="AK38" s="5">
        <v>1967000</v>
      </c>
      <c r="AL38">
        <v>0</v>
      </c>
      <c r="AM38">
        <v>0</v>
      </c>
      <c r="AN38">
        <v>0</v>
      </c>
      <c r="AO38" s="5">
        <v>1967000</v>
      </c>
      <c r="AQ38" s="5">
        <v>652000</v>
      </c>
      <c r="AT38">
        <v>2</v>
      </c>
    </row>
    <row r="39" spans="1:46" x14ac:dyDescent="0.35">
      <c r="A39">
        <v>3451</v>
      </c>
      <c r="B39" t="s">
        <v>695</v>
      </c>
      <c r="C39" t="s">
        <v>1140</v>
      </c>
      <c r="D39" t="s">
        <v>829</v>
      </c>
      <c r="E39" s="5">
        <v>1042548</v>
      </c>
      <c r="F39" s="5">
        <v>1040745</v>
      </c>
      <c r="G39" s="5">
        <v>241963</v>
      </c>
      <c r="H39">
        <v>0</v>
      </c>
      <c r="I39">
        <v>0</v>
      </c>
      <c r="K39" s="5">
        <v>4309</v>
      </c>
      <c r="L39">
        <v>0</v>
      </c>
      <c r="M39" s="5">
        <v>4309</v>
      </c>
      <c r="N39">
        <v>0</v>
      </c>
      <c r="O39">
        <v>0</v>
      </c>
      <c r="P39">
        <v>0</v>
      </c>
      <c r="Q39">
        <v>0</v>
      </c>
      <c r="R39">
        <v>0</v>
      </c>
      <c r="S39">
        <v>505</v>
      </c>
      <c r="T39">
        <v>2499</v>
      </c>
      <c r="U39">
        <v>1852385</v>
      </c>
      <c r="V39">
        <v>172033</v>
      </c>
      <c r="W39">
        <v>11037</v>
      </c>
      <c r="X39" s="5">
        <v>1414070</v>
      </c>
      <c r="Y39">
        <v>0</v>
      </c>
      <c r="AA39" s="5">
        <v>223851</v>
      </c>
      <c r="AC39" s="5">
        <v>82718</v>
      </c>
      <c r="AD39">
        <v>0</v>
      </c>
      <c r="AE39" s="5">
        <v>82718</v>
      </c>
      <c r="AF39">
        <v>0</v>
      </c>
      <c r="AG39">
        <v>0</v>
      </c>
      <c r="AH39">
        <v>0</v>
      </c>
      <c r="AI39">
        <v>0</v>
      </c>
      <c r="AK39">
        <v>0</v>
      </c>
      <c r="AL39">
        <v>0</v>
      </c>
      <c r="AM39">
        <v>0</v>
      </c>
      <c r="AN39">
        <v>0</v>
      </c>
      <c r="AO39">
        <v>0</v>
      </c>
      <c r="AQ39">
        <v>0</v>
      </c>
      <c r="AT39">
        <v>2</v>
      </c>
    </row>
    <row r="40" spans="1:46" x14ac:dyDescent="0.35">
      <c r="A40">
        <v>3481</v>
      </c>
      <c r="B40" t="s">
        <v>696</v>
      </c>
      <c r="C40" t="s">
        <v>865</v>
      </c>
      <c r="D40" t="s">
        <v>829</v>
      </c>
      <c r="E40" s="5">
        <v>1703863</v>
      </c>
      <c r="F40" s="5">
        <v>1363371</v>
      </c>
      <c r="G40" s="5">
        <v>525794</v>
      </c>
      <c r="H40">
        <v>0</v>
      </c>
      <c r="I40">
        <v>0</v>
      </c>
      <c r="K40" s="5">
        <v>11285</v>
      </c>
      <c r="L40">
        <v>0</v>
      </c>
      <c r="M40" s="5">
        <v>11285</v>
      </c>
      <c r="N40">
        <v>0</v>
      </c>
      <c r="O40">
        <v>0</v>
      </c>
      <c r="P40">
        <v>0</v>
      </c>
      <c r="Q40">
        <v>0</v>
      </c>
      <c r="R40">
        <v>0</v>
      </c>
      <c r="S40">
        <v>55</v>
      </c>
      <c r="T40">
        <v>4866</v>
      </c>
      <c r="U40">
        <v>1468934</v>
      </c>
      <c r="V40">
        <v>132250</v>
      </c>
      <c r="W40">
        <v>11917</v>
      </c>
      <c r="X40" s="5">
        <v>1448913</v>
      </c>
      <c r="Y40">
        <v>0</v>
      </c>
      <c r="AA40">
        <v>0</v>
      </c>
      <c r="AC40" s="5">
        <v>19654</v>
      </c>
      <c r="AD40">
        <v>0</v>
      </c>
      <c r="AE40" s="5">
        <v>19654</v>
      </c>
      <c r="AF40">
        <v>0</v>
      </c>
      <c r="AG40">
        <v>0</v>
      </c>
      <c r="AH40">
        <v>0</v>
      </c>
      <c r="AI40">
        <v>0</v>
      </c>
      <c r="AK40">
        <v>0</v>
      </c>
      <c r="AL40">
        <v>0</v>
      </c>
      <c r="AM40">
        <v>0</v>
      </c>
      <c r="AN40">
        <v>0</v>
      </c>
      <c r="AO40">
        <v>0</v>
      </c>
      <c r="AP40">
        <v>0</v>
      </c>
      <c r="AQ40">
        <v>0</v>
      </c>
      <c r="AR40">
        <v>0</v>
      </c>
      <c r="AS40">
        <v>0</v>
      </c>
      <c r="AT40">
        <v>2</v>
      </c>
    </row>
    <row r="41" spans="1:46" x14ac:dyDescent="0.35">
      <c r="A41">
        <v>3501</v>
      </c>
      <c r="B41" t="s">
        <v>697</v>
      </c>
      <c r="C41" t="s">
        <v>1141</v>
      </c>
      <c r="D41" t="s">
        <v>829</v>
      </c>
      <c r="E41" s="5">
        <v>1732397</v>
      </c>
      <c r="F41" s="5">
        <v>862581</v>
      </c>
      <c r="G41" s="5">
        <v>573617</v>
      </c>
      <c r="H41">
        <v>0</v>
      </c>
      <c r="I41">
        <v>0</v>
      </c>
      <c r="K41" s="5">
        <v>10214</v>
      </c>
      <c r="L41">
        <v>0</v>
      </c>
      <c r="M41" s="5">
        <v>10214</v>
      </c>
      <c r="N41">
        <v>0</v>
      </c>
      <c r="O41">
        <v>0</v>
      </c>
      <c r="P41">
        <v>0</v>
      </c>
      <c r="Q41">
        <v>0</v>
      </c>
      <c r="R41">
        <v>0</v>
      </c>
      <c r="S41">
        <v>3888</v>
      </c>
      <c r="T41">
        <v>3826</v>
      </c>
      <c r="U41">
        <v>1007087</v>
      </c>
      <c r="V41">
        <v>96543</v>
      </c>
      <c r="W41">
        <v>5857</v>
      </c>
      <c r="X41" s="5">
        <v>1201636</v>
      </c>
      <c r="Y41">
        <v>0</v>
      </c>
      <c r="AA41" s="5">
        <v>162431</v>
      </c>
      <c r="AC41" s="5">
        <v>194867</v>
      </c>
      <c r="AD41">
        <v>0</v>
      </c>
      <c r="AE41" s="5">
        <v>194867</v>
      </c>
      <c r="AF41">
        <v>0</v>
      </c>
      <c r="AG41">
        <v>0</v>
      </c>
      <c r="AH41">
        <v>0</v>
      </c>
      <c r="AI41" s="5">
        <v>24811</v>
      </c>
      <c r="AK41">
        <v>0</v>
      </c>
      <c r="AL41">
        <v>0</v>
      </c>
      <c r="AM41">
        <v>0</v>
      </c>
      <c r="AN41">
        <v>0</v>
      </c>
      <c r="AO41">
        <v>0</v>
      </c>
      <c r="AQ41" s="5">
        <v>238297</v>
      </c>
      <c r="AT41">
        <v>2</v>
      </c>
    </row>
    <row r="42" spans="1:46" x14ac:dyDescent="0.35">
      <c r="A42">
        <v>3601</v>
      </c>
      <c r="B42" t="s">
        <v>698</v>
      </c>
      <c r="C42" t="s">
        <v>869</v>
      </c>
      <c r="D42" t="s">
        <v>829</v>
      </c>
      <c r="E42" s="5">
        <v>1915932</v>
      </c>
      <c r="F42" s="5">
        <v>1915506</v>
      </c>
      <c r="G42" s="5">
        <v>882744</v>
      </c>
      <c r="H42">
        <v>0</v>
      </c>
      <c r="I42">
        <v>0</v>
      </c>
      <c r="K42" s="5">
        <v>15719</v>
      </c>
      <c r="L42">
        <v>0</v>
      </c>
      <c r="M42" s="5">
        <v>15719</v>
      </c>
      <c r="N42">
        <v>0</v>
      </c>
      <c r="O42">
        <v>0</v>
      </c>
      <c r="P42">
        <v>0</v>
      </c>
      <c r="Q42">
        <v>0</v>
      </c>
      <c r="R42">
        <v>0</v>
      </c>
      <c r="S42">
        <v>584</v>
      </c>
      <c r="T42">
        <v>0</v>
      </c>
      <c r="U42">
        <v>2840293</v>
      </c>
      <c r="V42">
        <v>223609</v>
      </c>
      <c r="W42">
        <v>15482</v>
      </c>
      <c r="X42" s="5">
        <v>2611244</v>
      </c>
      <c r="Y42">
        <v>0</v>
      </c>
      <c r="AA42">
        <v>0</v>
      </c>
      <c r="AC42" s="5">
        <v>67033</v>
      </c>
      <c r="AD42">
        <v>0</v>
      </c>
      <c r="AE42" s="5">
        <v>67033</v>
      </c>
      <c r="AF42">
        <v>0</v>
      </c>
      <c r="AG42">
        <v>0</v>
      </c>
      <c r="AH42">
        <v>0</v>
      </c>
      <c r="AI42">
        <v>0</v>
      </c>
      <c r="AK42">
        <v>0</v>
      </c>
      <c r="AL42">
        <v>0</v>
      </c>
      <c r="AM42">
        <v>0</v>
      </c>
      <c r="AN42">
        <v>0</v>
      </c>
      <c r="AO42">
        <v>0</v>
      </c>
      <c r="AQ42">
        <v>0</v>
      </c>
      <c r="AS42">
        <v>0</v>
      </c>
      <c r="AT42">
        <v>2</v>
      </c>
    </row>
    <row r="43" spans="1:46" x14ac:dyDescent="0.35">
      <c r="A43">
        <v>3651</v>
      </c>
      <c r="B43" t="s">
        <v>699</v>
      </c>
      <c r="C43" t="s">
        <v>870</v>
      </c>
      <c r="D43" t="s">
        <v>829</v>
      </c>
      <c r="E43" s="5">
        <v>1556823</v>
      </c>
      <c r="F43" s="5">
        <v>1121298</v>
      </c>
      <c r="G43" s="5">
        <v>673751</v>
      </c>
      <c r="H43">
        <v>0</v>
      </c>
      <c r="I43">
        <v>0</v>
      </c>
      <c r="K43" s="5">
        <v>11997</v>
      </c>
      <c r="L43">
        <v>0</v>
      </c>
      <c r="M43" s="5">
        <v>11997</v>
      </c>
      <c r="N43">
        <v>0</v>
      </c>
      <c r="O43">
        <v>0</v>
      </c>
      <c r="P43">
        <v>0</v>
      </c>
      <c r="Q43">
        <v>0</v>
      </c>
      <c r="R43">
        <v>0</v>
      </c>
      <c r="S43">
        <v>205</v>
      </c>
      <c r="T43">
        <v>3779</v>
      </c>
      <c r="U43">
        <v>1631071</v>
      </c>
      <c r="V43">
        <v>133292</v>
      </c>
      <c r="W43">
        <v>8520</v>
      </c>
      <c r="X43" s="5">
        <v>1437967</v>
      </c>
      <c r="Y43">
        <v>0</v>
      </c>
      <c r="AA43">
        <v>0</v>
      </c>
      <c r="AC43" s="5">
        <v>44340</v>
      </c>
      <c r="AD43">
        <v>0</v>
      </c>
      <c r="AE43" s="5">
        <v>44340</v>
      </c>
      <c r="AF43">
        <v>0</v>
      </c>
      <c r="AG43">
        <v>0</v>
      </c>
      <c r="AH43">
        <v>0</v>
      </c>
      <c r="AI43">
        <v>0</v>
      </c>
      <c r="AK43">
        <v>0</v>
      </c>
      <c r="AL43">
        <v>0</v>
      </c>
      <c r="AM43">
        <v>0</v>
      </c>
      <c r="AN43">
        <v>0</v>
      </c>
      <c r="AO43">
        <v>0</v>
      </c>
      <c r="AQ43">
        <v>0</v>
      </c>
      <c r="AS43">
        <v>0</v>
      </c>
      <c r="AT43">
        <v>2</v>
      </c>
    </row>
    <row r="44" spans="1:46" x14ac:dyDescent="0.35">
      <c r="A44">
        <v>3791</v>
      </c>
      <c r="B44" t="s">
        <v>700</v>
      </c>
      <c r="C44" t="s">
        <v>875</v>
      </c>
      <c r="D44" t="s">
        <v>829</v>
      </c>
      <c r="E44" s="5">
        <v>1641524</v>
      </c>
      <c r="F44" s="5">
        <v>1641524</v>
      </c>
      <c r="G44" s="5">
        <v>1439220</v>
      </c>
      <c r="H44">
        <v>0</v>
      </c>
      <c r="I44">
        <v>0</v>
      </c>
      <c r="K44">
        <v>0</v>
      </c>
      <c r="L44">
        <v>0</v>
      </c>
      <c r="M44">
        <v>0</v>
      </c>
      <c r="N44">
        <v>0</v>
      </c>
      <c r="O44">
        <v>0</v>
      </c>
      <c r="P44">
        <v>0</v>
      </c>
      <c r="Q44">
        <v>0</v>
      </c>
      <c r="R44">
        <v>0</v>
      </c>
      <c r="S44">
        <v>10440</v>
      </c>
      <c r="T44">
        <v>2910</v>
      </c>
      <c r="U44">
        <v>3948099</v>
      </c>
      <c r="V44">
        <v>261209</v>
      </c>
      <c r="W44">
        <v>25998</v>
      </c>
      <c r="X44" s="5">
        <v>1659155</v>
      </c>
      <c r="Y44" s="5">
        <v>161977</v>
      </c>
      <c r="AA44" s="5">
        <v>75666</v>
      </c>
      <c r="AC44" s="5">
        <v>116519</v>
      </c>
      <c r="AD44" s="5">
        <v>116519</v>
      </c>
      <c r="AE44">
        <v>0</v>
      </c>
      <c r="AF44">
        <v>0</v>
      </c>
      <c r="AG44">
        <v>0</v>
      </c>
      <c r="AH44">
        <v>0</v>
      </c>
      <c r="AI44">
        <v>0</v>
      </c>
      <c r="AK44">
        <v>0</v>
      </c>
      <c r="AL44">
        <v>0</v>
      </c>
      <c r="AM44">
        <v>0</v>
      </c>
      <c r="AO44">
        <v>0</v>
      </c>
      <c r="AQ44">
        <v>0</v>
      </c>
      <c r="AT44">
        <v>2</v>
      </c>
    </row>
    <row r="45" spans="1:46" x14ac:dyDescent="0.35">
      <c r="A45">
        <v>4001</v>
      </c>
      <c r="B45" t="s">
        <v>701</v>
      </c>
      <c r="C45" t="s">
        <v>876</v>
      </c>
      <c r="D45" t="s">
        <v>829</v>
      </c>
      <c r="E45" s="5">
        <v>3923029</v>
      </c>
      <c r="F45" s="5">
        <v>3923029</v>
      </c>
      <c r="G45" s="5">
        <v>1801397</v>
      </c>
      <c r="H45">
        <v>0</v>
      </c>
      <c r="I45">
        <v>0</v>
      </c>
      <c r="K45">
        <v>0</v>
      </c>
      <c r="L45">
        <v>0</v>
      </c>
      <c r="M45">
        <v>0</v>
      </c>
      <c r="N45">
        <v>0</v>
      </c>
      <c r="O45">
        <v>0</v>
      </c>
      <c r="P45">
        <v>0</v>
      </c>
      <c r="Q45">
        <v>0</v>
      </c>
      <c r="R45">
        <v>0</v>
      </c>
      <c r="S45">
        <v>4673</v>
      </c>
      <c r="T45">
        <v>8296</v>
      </c>
      <c r="U45">
        <v>5692662</v>
      </c>
      <c r="V45">
        <v>430576</v>
      </c>
      <c r="W45">
        <v>32043</v>
      </c>
      <c r="X45" s="5">
        <v>4854922</v>
      </c>
      <c r="Y45">
        <v>0</v>
      </c>
      <c r="AA45" s="5">
        <v>1132875</v>
      </c>
      <c r="AC45" s="5">
        <v>95542</v>
      </c>
      <c r="AD45" s="5">
        <v>88250</v>
      </c>
      <c r="AE45" s="5">
        <v>7292</v>
      </c>
      <c r="AF45">
        <v>0</v>
      </c>
      <c r="AG45">
        <v>0</v>
      </c>
      <c r="AH45">
        <v>0</v>
      </c>
      <c r="AI45">
        <v>0</v>
      </c>
      <c r="AK45">
        <v>0</v>
      </c>
      <c r="AL45">
        <v>0</v>
      </c>
      <c r="AM45">
        <v>0</v>
      </c>
      <c r="AN45">
        <v>0</v>
      </c>
      <c r="AO45">
        <v>0</v>
      </c>
      <c r="AP45">
        <v>0</v>
      </c>
      <c r="AQ45" s="5">
        <v>815409</v>
      </c>
      <c r="AR45" s="81">
        <v>2123000</v>
      </c>
      <c r="AS45">
        <v>0</v>
      </c>
      <c r="AT45">
        <v>2</v>
      </c>
    </row>
    <row r="46" spans="1:46" x14ac:dyDescent="0.35">
      <c r="A46">
        <v>4101</v>
      </c>
      <c r="B46" t="s">
        <v>702</v>
      </c>
      <c r="C46" t="s">
        <v>879</v>
      </c>
      <c r="D46" t="s">
        <v>829</v>
      </c>
      <c r="E46" s="5">
        <v>1396824</v>
      </c>
      <c r="F46" s="5">
        <v>1980812</v>
      </c>
      <c r="G46" s="5">
        <v>1109739</v>
      </c>
      <c r="H46">
        <v>0</v>
      </c>
      <c r="I46">
        <v>0</v>
      </c>
      <c r="K46" s="5">
        <v>3877</v>
      </c>
      <c r="L46">
        <v>0</v>
      </c>
      <c r="M46" s="5">
        <v>3877</v>
      </c>
      <c r="N46">
        <v>0</v>
      </c>
      <c r="O46">
        <v>0</v>
      </c>
      <c r="P46">
        <v>0</v>
      </c>
      <c r="Q46">
        <v>0</v>
      </c>
      <c r="R46">
        <v>0</v>
      </c>
      <c r="S46">
        <v>1347</v>
      </c>
      <c r="T46">
        <v>4099</v>
      </c>
      <c r="U46">
        <v>3346126</v>
      </c>
      <c r="V46">
        <v>316280</v>
      </c>
      <c r="W46">
        <v>23802</v>
      </c>
      <c r="X46" s="5">
        <v>1828618</v>
      </c>
      <c r="Y46">
        <v>0</v>
      </c>
      <c r="AA46">
        <v>0</v>
      </c>
      <c r="AC46">
        <v>0</v>
      </c>
      <c r="AD46">
        <v>0</v>
      </c>
      <c r="AE46">
        <v>0</v>
      </c>
      <c r="AF46">
        <v>0</v>
      </c>
      <c r="AG46">
        <v>0</v>
      </c>
      <c r="AH46">
        <v>0</v>
      </c>
      <c r="AI46">
        <v>0</v>
      </c>
      <c r="AK46">
        <v>0</v>
      </c>
      <c r="AL46">
        <v>0</v>
      </c>
      <c r="AM46">
        <v>0</v>
      </c>
      <c r="AN46">
        <v>0</v>
      </c>
      <c r="AO46">
        <v>0</v>
      </c>
      <c r="AP46">
        <v>0</v>
      </c>
      <c r="AQ46">
        <v>0</v>
      </c>
      <c r="AR46">
        <v>0</v>
      </c>
      <c r="AS46">
        <v>0</v>
      </c>
      <c r="AT46">
        <v>2</v>
      </c>
    </row>
    <row r="47" spans="1:46" x14ac:dyDescent="0.35">
      <c r="A47">
        <v>4221</v>
      </c>
      <c r="B47" t="s">
        <v>703</v>
      </c>
      <c r="C47" t="s">
        <v>883</v>
      </c>
      <c r="D47" t="s">
        <v>829</v>
      </c>
      <c r="E47" s="5">
        <v>3103008</v>
      </c>
      <c r="F47" s="5">
        <v>3103008</v>
      </c>
      <c r="G47" s="5">
        <v>1114187</v>
      </c>
      <c r="H47">
        <v>0</v>
      </c>
      <c r="I47">
        <v>0</v>
      </c>
      <c r="K47">
        <v>0</v>
      </c>
      <c r="L47">
        <v>0</v>
      </c>
      <c r="S47">
        <v>4262</v>
      </c>
      <c r="T47">
        <v>3499</v>
      </c>
      <c r="U47">
        <v>7134515</v>
      </c>
      <c r="V47">
        <v>435671</v>
      </c>
      <c r="W47">
        <v>30626</v>
      </c>
      <c r="X47" s="5">
        <v>4653140</v>
      </c>
      <c r="Y47">
        <v>0</v>
      </c>
      <c r="AA47" s="5">
        <v>1746000</v>
      </c>
      <c r="AC47" s="5">
        <v>179970</v>
      </c>
      <c r="AD47" s="5">
        <v>179970</v>
      </c>
      <c r="AE47">
        <v>0</v>
      </c>
      <c r="AF47">
        <v>0</v>
      </c>
      <c r="AG47">
        <v>0</v>
      </c>
      <c r="AH47">
        <v>0</v>
      </c>
      <c r="AI47" s="5">
        <v>191161</v>
      </c>
      <c r="AK47" s="5">
        <v>4000</v>
      </c>
      <c r="AO47" s="5">
        <v>4000</v>
      </c>
      <c r="AQ47" s="5">
        <v>734792</v>
      </c>
      <c r="AT47">
        <v>2</v>
      </c>
    </row>
    <row r="48" spans="1:46" x14ac:dyDescent="0.35">
      <c r="A48">
        <v>4291</v>
      </c>
      <c r="B48" t="s">
        <v>704</v>
      </c>
      <c r="C48" t="s">
        <v>886</v>
      </c>
      <c r="D48" t="s">
        <v>829</v>
      </c>
      <c r="E48" s="5">
        <v>1003951</v>
      </c>
      <c r="F48" s="5">
        <v>1003951</v>
      </c>
      <c r="G48" s="5">
        <v>825000</v>
      </c>
      <c r="H48">
        <v>0</v>
      </c>
      <c r="I48">
        <v>0</v>
      </c>
      <c r="K48">
        <v>0</v>
      </c>
      <c r="L48">
        <v>0</v>
      </c>
      <c r="M48">
        <v>0</v>
      </c>
      <c r="N48">
        <v>0</v>
      </c>
      <c r="O48">
        <v>0</v>
      </c>
      <c r="P48">
        <v>0</v>
      </c>
      <c r="Q48">
        <v>0</v>
      </c>
      <c r="R48">
        <v>0</v>
      </c>
      <c r="S48">
        <v>1784</v>
      </c>
      <c r="T48">
        <v>3924</v>
      </c>
      <c r="U48">
        <v>1466909</v>
      </c>
      <c r="V48">
        <v>114847</v>
      </c>
      <c r="W48">
        <v>13447</v>
      </c>
      <c r="X48" s="5">
        <v>1402497</v>
      </c>
      <c r="Y48" s="5">
        <v>298424</v>
      </c>
      <c r="AA48">
        <v>0</v>
      </c>
      <c r="AC48" s="5">
        <v>16391</v>
      </c>
      <c r="AD48">
        <v>0</v>
      </c>
      <c r="AE48" s="5">
        <v>16391</v>
      </c>
      <c r="AF48">
        <v>0</v>
      </c>
      <c r="AG48">
        <v>0</v>
      </c>
      <c r="AH48">
        <v>0</v>
      </c>
      <c r="AI48" s="5">
        <v>162873</v>
      </c>
      <c r="AK48">
        <v>0</v>
      </c>
      <c r="AL48">
        <v>0</v>
      </c>
      <c r="AM48">
        <v>0</v>
      </c>
      <c r="AN48">
        <v>0</v>
      </c>
      <c r="AO48">
        <v>0</v>
      </c>
      <c r="AP48">
        <v>0</v>
      </c>
      <c r="AQ48">
        <v>0</v>
      </c>
      <c r="AR48">
        <v>0</v>
      </c>
      <c r="AS48">
        <v>0</v>
      </c>
      <c r="AT48">
        <v>2</v>
      </c>
    </row>
    <row r="49" spans="1:46" x14ac:dyDescent="0.35">
      <c r="A49">
        <v>4301</v>
      </c>
      <c r="B49" t="s">
        <v>705</v>
      </c>
      <c r="C49" t="s">
        <v>888</v>
      </c>
      <c r="D49" t="s">
        <v>829</v>
      </c>
      <c r="E49" s="5">
        <v>2979995</v>
      </c>
      <c r="F49" s="5">
        <v>2979995</v>
      </c>
      <c r="G49" s="5">
        <v>1133778</v>
      </c>
      <c r="H49">
        <v>0</v>
      </c>
      <c r="I49">
        <v>0</v>
      </c>
      <c r="K49">
        <v>0</v>
      </c>
      <c r="L49">
        <v>0</v>
      </c>
      <c r="M49">
        <v>0</v>
      </c>
      <c r="N49">
        <v>0</v>
      </c>
      <c r="O49">
        <v>0</v>
      </c>
      <c r="P49">
        <v>0</v>
      </c>
      <c r="Q49">
        <v>0</v>
      </c>
      <c r="R49">
        <v>0</v>
      </c>
      <c r="S49">
        <v>4417</v>
      </c>
      <c r="T49">
        <v>4826</v>
      </c>
      <c r="U49">
        <v>4189364</v>
      </c>
      <c r="V49">
        <v>311151</v>
      </c>
      <c r="W49">
        <v>32754</v>
      </c>
      <c r="X49" s="5">
        <v>4085776</v>
      </c>
      <c r="Y49">
        <v>0</v>
      </c>
      <c r="AA49" s="5">
        <v>781700</v>
      </c>
      <c r="AC49" s="5">
        <v>568788</v>
      </c>
      <c r="AD49">
        <v>0</v>
      </c>
      <c r="AE49" s="5">
        <v>568788</v>
      </c>
      <c r="AF49">
        <v>0</v>
      </c>
      <c r="AG49">
        <v>0</v>
      </c>
      <c r="AH49">
        <v>0</v>
      </c>
      <c r="AI49">
        <v>0</v>
      </c>
      <c r="AK49">
        <v>0</v>
      </c>
      <c r="AL49">
        <v>0</v>
      </c>
      <c r="AM49">
        <v>1</v>
      </c>
      <c r="AN49">
        <v>0</v>
      </c>
      <c r="AO49">
        <v>0</v>
      </c>
      <c r="AP49">
        <v>0</v>
      </c>
      <c r="AQ49" s="5">
        <v>33368</v>
      </c>
      <c r="AR49">
        <v>0</v>
      </c>
      <c r="AS49">
        <v>0</v>
      </c>
      <c r="AT49">
        <v>2</v>
      </c>
    </row>
    <row r="50" spans="1:46" x14ac:dyDescent="0.35">
      <c r="A50">
        <v>4331</v>
      </c>
      <c r="B50" t="s">
        <v>706</v>
      </c>
      <c r="C50" t="s">
        <v>889</v>
      </c>
      <c r="D50" t="s">
        <v>829</v>
      </c>
      <c r="E50" s="5">
        <v>1050016</v>
      </c>
      <c r="F50" s="5">
        <v>1050016</v>
      </c>
      <c r="G50" s="5">
        <v>533140</v>
      </c>
      <c r="H50">
        <v>0</v>
      </c>
      <c r="I50">
        <v>0</v>
      </c>
      <c r="K50">
        <v>0</v>
      </c>
      <c r="L50">
        <v>0</v>
      </c>
      <c r="M50">
        <v>0</v>
      </c>
      <c r="N50">
        <v>0</v>
      </c>
      <c r="O50">
        <v>0</v>
      </c>
      <c r="P50">
        <v>0</v>
      </c>
      <c r="Q50">
        <v>0</v>
      </c>
      <c r="R50">
        <v>0</v>
      </c>
      <c r="S50">
        <v>1320</v>
      </c>
      <c r="T50">
        <v>498</v>
      </c>
      <c r="U50">
        <v>1278151</v>
      </c>
      <c r="V50">
        <v>105437</v>
      </c>
      <c r="W50">
        <v>8509</v>
      </c>
      <c r="X50" s="5">
        <v>1740186</v>
      </c>
      <c r="Y50">
        <v>0</v>
      </c>
      <c r="AA50">
        <v>0</v>
      </c>
      <c r="AC50">
        <v>0</v>
      </c>
      <c r="AD50">
        <v>0</v>
      </c>
      <c r="AE50">
        <v>0</v>
      </c>
      <c r="AF50">
        <v>0</v>
      </c>
      <c r="AG50">
        <v>0</v>
      </c>
      <c r="AH50">
        <v>0</v>
      </c>
      <c r="AI50">
        <v>0</v>
      </c>
      <c r="AK50">
        <v>0</v>
      </c>
      <c r="AL50">
        <v>0</v>
      </c>
      <c r="AM50">
        <v>0</v>
      </c>
      <c r="AN50">
        <v>0</v>
      </c>
      <c r="AO50">
        <v>0</v>
      </c>
      <c r="AP50">
        <v>0</v>
      </c>
      <c r="AQ50">
        <v>0</v>
      </c>
      <c r="AR50">
        <v>0</v>
      </c>
      <c r="AS50">
        <v>0</v>
      </c>
      <c r="AT50">
        <v>2</v>
      </c>
    </row>
    <row r="51" spans="1:46" x14ac:dyDescent="0.35">
      <c r="A51">
        <v>4401</v>
      </c>
      <c r="B51" t="s">
        <v>707</v>
      </c>
      <c r="C51" t="s">
        <v>891</v>
      </c>
      <c r="D51" t="s">
        <v>829</v>
      </c>
      <c r="E51" s="5">
        <v>1791951</v>
      </c>
      <c r="F51" s="5">
        <v>5837362</v>
      </c>
      <c r="G51" s="5">
        <v>1061710</v>
      </c>
      <c r="H51">
        <v>0</v>
      </c>
      <c r="I51">
        <v>0</v>
      </c>
      <c r="K51" s="5">
        <v>15000</v>
      </c>
      <c r="L51" s="5">
        <v>15000</v>
      </c>
      <c r="M51">
        <v>0</v>
      </c>
      <c r="N51">
        <v>0</v>
      </c>
      <c r="O51">
        <v>0</v>
      </c>
      <c r="P51">
        <v>0</v>
      </c>
      <c r="Q51">
        <v>0</v>
      </c>
      <c r="R51">
        <v>0</v>
      </c>
      <c r="S51">
        <v>7529</v>
      </c>
      <c r="T51">
        <v>4303</v>
      </c>
      <c r="U51">
        <v>2599190</v>
      </c>
      <c r="V51">
        <v>252761</v>
      </c>
      <c r="W51">
        <v>56081</v>
      </c>
      <c r="X51" s="5">
        <v>9735595</v>
      </c>
      <c r="Y51" s="5">
        <v>83391</v>
      </c>
      <c r="AA51">
        <v>0</v>
      </c>
      <c r="AC51" s="5">
        <v>360000</v>
      </c>
      <c r="AD51" s="5">
        <v>360000</v>
      </c>
      <c r="AE51">
        <v>0</v>
      </c>
      <c r="AF51">
        <v>0</v>
      </c>
      <c r="AG51">
        <v>0</v>
      </c>
      <c r="AH51">
        <v>0</v>
      </c>
      <c r="AI51">
        <v>0</v>
      </c>
      <c r="AK51" s="5">
        <v>16972000</v>
      </c>
      <c r="AL51">
        <v>0</v>
      </c>
      <c r="AM51">
        <v>0</v>
      </c>
      <c r="AN51">
        <v>0</v>
      </c>
      <c r="AO51">
        <v>0</v>
      </c>
      <c r="AP51" s="5">
        <v>16972000</v>
      </c>
      <c r="AQ51">
        <v>0</v>
      </c>
      <c r="AR51">
        <v>0</v>
      </c>
      <c r="AS51">
        <v>0</v>
      </c>
      <c r="AT51">
        <v>2</v>
      </c>
    </row>
    <row r="52" spans="1:46" x14ac:dyDescent="0.35">
      <c r="A52">
        <v>4571</v>
      </c>
      <c r="B52" t="s">
        <v>708</v>
      </c>
      <c r="C52" t="s">
        <v>896</v>
      </c>
      <c r="D52" t="s">
        <v>829</v>
      </c>
      <c r="E52" s="5">
        <v>1155149</v>
      </c>
      <c r="F52" s="5">
        <v>1155149</v>
      </c>
      <c r="G52" s="5">
        <v>584845</v>
      </c>
      <c r="H52">
        <v>0</v>
      </c>
      <c r="I52">
        <v>0</v>
      </c>
      <c r="K52">
        <v>0</v>
      </c>
      <c r="Q52">
        <v>0</v>
      </c>
      <c r="R52">
        <v>0</v>
      </c>
      <c r="S52">
        <v>3335</v>
      </c>
      <c r="T52">
        <v>2842</v>
      </c>
      <c r="U52">
        <v>1972374</v>
      </c>
      <c r="V52">
        <v>131126</v>
      </c>
      <c r="W52">
        <v>15386</v>
      </c>
      <c r="X52" s="5">
        <v>1822923</v>
      </c>
      <c r="Y52" s="5">
        <v>186029</v>
      </c>
      <c r="AA52">
        <v>0</v>
      </c>
      <c r="AC52">
        <v>0</v>
      </c>
      <c r="AI52" s="5">
        <v>2925</v>
      </c>
      <c r="AK52">
        <v>0</v>
      </c>
      <c r="AL52">
        <v>0</v>
      </c>
      <c r="AM52">
        <v>0</v>
      </c>
      <c r="AN52">
        <v>0</v>
      </c>
      <c r="AO52">
        <v>0</v>
      </c>
      <c r="AP52">
        <v>0</v>
      </c>
      <c r="AQ52">
        <v>450</v>
      </c>
      <c r="AT52">
        <v>2</v>
      </c>
    </row>
    <row r="53" spans="1:46" x14ac:dyDescent="0.35">
      <c r="A53">
        <v>4601</v>
      </c>
      <c r="B53" t="s">
        <v>709</v>
      </c>
      <c r="C53" t="s">
        <v>898</v>
      </c>
      <c r="D53" t="s">
        <v>829</v>
      </c>
      <c r="E53" s="5">
        <v>3880396</v>
      </c>
      <c r="F53" s="5">
        <v>3880396</v>
      </c>
      <c r="G53" s="5">
        <v>923074</v>
      </c>
      <c r="K53">
        <v>0</v>
      </c>
      <c r="L53">
        <v>0</v>
      </c>
      <c r="M53">
        <v>0</v>
      </c>
      <c r="N53">
        <v>0</v>
      </c>
      <c r="O53">
        <v>0</v>
      </c>
      <c r="P53">
        <v>0</v>
      </c>
      <c r="S53">
        <v>555</v>
      </c>
      <c r="T53">
        <v>9686</v>
      </c>
      <c r="U53">
        <v>5351537</v>
      </c>
      <c r="V53">
        <v>396823</v>
      </c>
      <c r="W53">
        <v>28015</v>
      </c>
      <c r="X53" s="5">
        <v>3091706</v>
      </c>
      <c r="Y53" s="5">
        <v>21072</v>
      </c>
      <c r="AA53" s="5">
        <v>2071200</v>
      </c>
      <c r="AC53">
        <v>0</v>
      </c>
      <c r="AD53">
        <v>0</v>
      </c>
      <c r="AE53">
        <v>0</v>
      </c>
      <c r="AF53">
        <v>0</v>
      </c>
      <c r="AG53">
        <v>0</v>
      </c>
      <c r="AH53">
        <v>0</v>
      </c>
      <c r="AI53" s="5">
        <v>2143000</v>
      </c>
      <c r="AK53">
        <v>0</v>
      </c>
      <c r="AL53">
        <v>0</v>
      </c>
      <c r="AM53">
        <v>0</v>
      </c>
      <c r="AN53">
        <v>0</v>
      </c>
      <c r="AO53">
        <v>0</v>
      </c>
      <c r="AQ53" s="5">
        <v>1210000</v>
      </c>
      <c r="AT53">
        <v>2</v>
      </c>
    </row>
    <row r="54" spans="1:46" x14ac:dyDescent="0.35">
      <c r="A54">
        <v>4661</v>
      </c>
      <c r="B54" t="s">
        <v>710</v>
      </c>
      <c r="C54" t="s">
        <v>1142</v>
      </c>
      <c r="D54" t="s">
        <v>829</v>
      </c>
      <c r="E54" s="5">
        <v>894886</v>
      </c>
      <c r="F54" s="5">
        <v>894886</v>
      </c>
      <c r="G54" s="5">
        <v>544604</v>
      </c>
      <c r="H54">
        <v>0</v>
      </c>
      <c r="I54">
        <v>0</v>
      </c>
      <c r="K54">
        <v>0</v>
      </c>
      <c r="L54">
        <v>0</v>
      </c>
      <c r="M54">
        <v>0</v>
      </c>
      <c r="N54">
        <v>0</v>
      </c>
      <c r="O54">
        <v>0</v>
      </c>
      <c r="P54">
        <v>0</v>
      </c>
      <c r="Q54">
        <v>0</v>
      </c>
      <c r="R54">
        <v>0</v>
      </c>
      <c r="S54">
        <v>1226</v>
      </c>
      <c r="T54">
        <v>1195</v>
      </c>
      <c r="U54">
        <v>1247337</v>
      </c>
      <c r="V54">
        <v>104357</v>
      </c>
      <c r="W54">
        <v>6572</v>
      </c>
      <c r="X54" s="5">
        <v>920436</v>
      </c>
      <c r="Y54">
        <v>0</v>
      </c>
      <c r="AA54">
        <v>0</v>
      </c>
      <c r="AC54" s="5">
        <v>9746</v>
      </c>
      <c r="AD54">
        <v>0</v>
      </c>
      <c r="AE54" s="5">
        <v>9746</v>
      </c>
      <c r="AF54">
        <v>0</v>
      </c>
      <c r="AG54">
        <v>0</v>
      </c>
      <c r="AH54">
        <v>0</v>
      </c>
      <c r="AI54">
        <v>0</v>
      </c>
      <c r="AK54">
        <v>0</v>
      </c>
      <c r="AL54">
        <v>0</v>
      </c>
      <c r="AM54">
        <v>0</v>
      </c>
      <c r="AN54">
        <v>0</v>
      </c>
      <c r="AO54">
        <v>0</v>
      </c>
      <c r="AT54">
        <v>2</v>
      </c>
    </row>
    <row r="55" spans="1:46" x14ac:dyDescent="0.35">
      <c r="A55">
        <v>4691</v>
      </c>
      <c r="B55" t="s">
        <v>711</v>
      </c>
      <c r="C55" t="s">
        <v>905</v>
      </c>
      <c r="D55" t="s">
        <v>829</v>
      </c>
      <c r="E55" s="5">
        <v>1326934</v>
      </c>
      <c r="F55" s="5">
        <v>2137806</v>
      </c>
      <c r="G55" s="5">
        <v>424430</v>
      </c>
      <c r="H55">
        <v>0</v>
      </c>
      <c r="I55">
        <v>0</v>
      </c>
      <c r="K55">
        <v>0</v>
      </c>
      <c r="L55">
        <v>0</v>
      </c>
      <c r="M55">
        <v>0</v>
      </c>
      <c r="N55">
        <v>0</v>
      </c>
      <c r="O55">
        <v>0</v>
      </c>
      <c r="P55">
        <v>0</v>
      </c>
      <c r="Q55">
        <v>0</v>
      </c>
      <c r="R55">
        <v>0</v>
      </c>
      <c r="S55">
        <v>2337</v>
      </c>
      <c r="T55">
        <v>4407</v>
      </c>
      <c r="U55">
        <v>2588754</v>
      </c>
      <c r="V55">
        <v>179432</v>
      </c>
      <c r="W55">
        <v>18725</v>
      </c>
      <c r="X55" s="5">
        <v>3654859</v>
      </c>
      <c r="Y55">
        <v>0</v>
      </c>
      <c r="AA55" s="5">
        <v>2863877</v>
      </c>
      <c r="AC55" s="5">
        <v>203910</v>
      </c>
      <c r="AD55">
        <v>0</v>
      </c>
      <c r="AE55" s="5">
        <v>203910</v>
      </c>
      <c r="AF55">
        <v>0</v>
      </c>
      <c r="AG55">
        <v>0</v>
      </c>
      <c r="AH55">
        <v>0</v>
      </c>
      <c r="AI55" s="5">
        <v>3676897</v>
      </c>
      <c r="AK55">
        <v>0</v>
      </c>
      <c r="AL55">
        <v>0</v>
      </c>
      <c r="AM55">
        <v>0</v>
      </c>
      <c r="AN55">
        <v>0</v>
      </c>
      <c r="AO55">
        <v>0</v>
      </c>
      <c r="AQ55" s="5">
        <v>1205990</v>
      </c>
      <c r="AT55">
        <v>2</v>
      </c>
    </row>
    <row r="56" spans="1:46" x14ac:dyDescent="0.35">
      <c r="A56">
        <v>4701</v>
      </c>
      <c r="B56" t="s">
        <v>712</v>
      </c>
      <c r="C56" t="s">
        <v>906</v>
      </c>
      <c r="D56" t="s">
        <v>829</v>
      </c>
      <c r="E56" s="5">
        <v>2878195</v>
      </c>
      <c r="F56" s="5">
        <v>3103008</v>
      </c>
      <c r="G56" s="5">
        <v>2103116</v>
      </c>
      <c r="K56">
        <v>0</v>
      </c>
      <c r="S56">
        <v>7556</v>
      </c>
      <c r="T56">
        <v>4319</v>
      </c>
      <c r="U56">
        <v>3347781</v>
      </c>
      <c r="V56">
        <v>316252</v>
      </c>
      <c r="W56">
        <v>49066</v>
      </c>
      <c r="X56" s="5">
        <v>4438205</v>
      </c>
      <c r="Y56">
        <v>0</v>
      </c>
      <c r="AA56" s="5">
        <v>1075578</v>
      </c>
      <c r="AC56" s="5">
        <v>2105466</v>
      </c>
      <c r="AE56" s="5">
        <v>2105466</v>
      </c>
      <c r="AI56" s="5">
        <v>458072</v>
      </c>
      <c r="AK56">
        <v>0</v>
      </c>
      <c r="AL56">
        <v>0</v>
      </c>
      <c r="AO56">
        <v>0</v>
      </c>
      <c r="AQ56" s="5">
        <v>536450</v>
      </c>
      <c r="AT56">
        <v>2</v>
      </c>
    </row>
    <row r="57" spans="1:46" x14ac:dyDescent="0.35">
      <c r="A57">
        <v>4761</v>
      </c>
      <c r="B57" t="s">
        <v>713</v>
      </c>
      <c r="C57" t="s">
        <v>908</v>
      </c>
      <c r="D57" t="s">
        <v>829</v>
      </c>
      <c r="E57" s="5">
        <v>1807246</v>
      </c>
      <c r="F57" s="5">
        <v>1807246</v>
      </c>
      <c r="G57" s="5">
        <v>1360413</v>
      </c>
      <c r="H57">
        <v>0</v>
      </c>
      <c r="I57">
        <v>0</v>
      </c>
      <c r="J57">
        <v>0</v>
      </c>
      <c r="Q57">
        <v>0</v>
      </c>
      <c r="R57">
        <v>0</v>
      </c>
      <c r="S57">
        <v>3085</v>
      </c>
      <c r="T57">
        <v>3629</v>
      </c>
      <c r="U57">
        <v>3575106</v>
      </c>
      <c r="V57">
        <v>238748</v>
      </c>
      <c r="W57">
        <v>25631</v>
      </c>
      <c r="X57" s="5">
        <v>2471268</v>
      </c>
      <c r="Z57" s="5">
        <v>29853</v>
      </c>
      <c r="AB57">
        <v>0</v>
      </c>
      <c r="AI57" s="5">
        <v>125000</v>
      </c>
      <c r="AJ57" s="5">
        <v>754000</v>
      </c>
      <c r="AM57">
        <v>0</v>
      </c>
      <c r="AT57">
        <v>2</v>
      </c>
    </row>
    <row r="58" spans="1:46" x14ac:dyDescent="0.35">
      <c r="A58">
        <v>4801</v>
      </c>
      <c r="B58" t="s">
        <v>714</v>
      </c>
      <c r="C58" t="s">
        <v>910</v>
      </c>
      <c r="D58" t="s">
        <v>829</v>
      </c>
      <c r="E58" s="5">
        <v>2588577</v>
      </c>
      <c r="F58" s="5">
        <v>2588577</v>
      </c>
      <c r="G58" s="5">
        <v>1706292</v>
      </c>
      <c r="H58">
        <v>0</v>
      </c>
      <c r="I58">
        <v>0</v>
      </c>
      <c r="J58">
        <v>0</v>
      </c>
      <c r="Q58">
        <v>0</v>
      </c>
      <c r="R58">
        <v>0</v>
      </c>
      <c r="S58">
        <v>6598</v>
      </c>
      <c r="T58">
        <v>6904</v>
      </c>
      <c r="U58">
        <v>3030881</v>
      </c>
      <c r="V58">
        <v>292953</v>
      </c>
      <c r="W58">
        <v>28223</v>
      </c>
      <c r="X58" s="5">
        <v>2602909</v>
      </c>
      <c r="Z58">
        <v>0</v>
      </c>
      <c r="AB58">
        <v>0</v>
      </c>
      <c r="AI58">
        <v>0</v>
      </c>
      <c r="AJ58">
        <v>0</v>
      </c>
      <c r="AM58">
        <v>0</v>
      </c>
      <c r="AT58">
        <v>2</v>
      </c>
    </row>
    <row r="59" spans="1:46" x14ac:dyDescent="0.35">
      <c r="A59">
        <v>4901</v>
      </c>
      <c r="B59" t="s">
        <v>715</v>
      </c>
      <c r="C59" t="s">
        <v>914</v>
      </c>
      <c r="D59" t="s">
        <v>829</v>
      </c>
      <c r="E59" s="5">
        <v>1653913</v>
      </c>
      <c r="F59" s="5">
        <v>2738522</v>
      </c>
      <c r="G59" s="5">
        <v>2107744</v>
      </c>
      <c r="H59">
        <v>0</v>
      </c>
      <c r="I59">
        <v>0</v>
      </c>
      <c r="K59">
        <v>0</v>
      </c>
      <c r="M59">
        <v>0</v>
      </c>
      <c r="Q59">
        <v>0</v>
      </c>
      <c r="R59">
        <v>0</v>
      </c>
      <c r="S59">
        <v>11623</v>
      </c>
      <c r="T59">
        <v>3422</v>
      </c>
      <c r="U59">
        <v>1659420</v>
      </c>
      <c r="V59">
        <v>164753</v>
      </c>
      <c r="W59">
        <v>26889</v>
      </c>
      <c r="X59" s="5">
        <v>2402574</v>
      </c>
      <c r="Y59">
        <v>0</v>
      </c>
      <c r="AA59">
        <v>0</v>
      </c>
      <c r="AC59" s="5">
        <v>51104</v>
      </c>
      <c r="AD59" s="5">
        <v>51104</v>
      </c>
      <c r="AK59">
        <v>0</v>
      </c>
      <c r="AT59">
        <v>2</v>
      </c>
    </row>
    <row r="60" spans="1:46" x14ac:dyDescent="0.35">
      <c r="A60">
        <v>5000</v>
      </c>
      <c r="B60" t="s">
        <v>504</v>
      </c>
      <c r="C60" t="s">
        <v>915</v>
      </c>
      <c r="D60" t="s">
        <v>829</v>
      </c>
      <c r="E60" s="5">
        <v>10969464</v>
      </c>
      <c r="F60" s="5">
        <v>10970044</v>
      </c>
      <c r="G60" s="5">
        <v>2132168</v>
      </c>
      <c r="H60" s="5">
        <v>43610</v>
      </c>
      <c r="I60">
        <v>0</v>
      </c>
      <c r="K60" s="5">
        <v>213787</v>
      </c>
      <c r="L60" s="5">
        <v>213787</v>
      </c>
      <c r="M60">
        <v>0</v>
      </c>
      <c r="N60">
        <v>0</v>
      </c>
      <c r="O60">
        <v>0</v>
      </c>
      <c r="P60">
        <v>0</v>
      </c>
      <c r="Q60">
        <v>0</v>
      </c>
      <c r="R60">
        <v>0</v>
      </c>
      <c r="S60">
        <v>29062</v>
      </c>
      <c r="T60">
        <v>22286</v>
      </c>
      <c r="U60">
        <v>16004491</v>
      </c>
      <c r="V60">
        <v>1197006</v>
      </c>
      <c r="W60">
        <v>156278</v>
      </c>
      <c r="X60" s="5">
        <v>11423381</v>
      </c>
      <c r="Y60" s="5">
        <v>226701</v>
      </c>
      <c r="AA60" s="5">
        <v>9596200</v>
      </c>
      <c r="AC60" s="5">
        <v>441009</v>
      </c>
      <c r="AD60" s="5">
        <v>400089</v>
      </c>
      <c r="AE60" s="5">
        <v>40920</v>
      </c>
      <c r="AF60">
        <v>0</v>
      </c>
      <c r="AG60">
        <v>0</v>
      </c>
      <c r="AH60">
        <v>0</v>
      </c>
      <c r="AI60" s="5">
        <v>6233333</v>
      </c>
      <c r="AK60" s="5">
        <v>7433611</v>
      </c>
      <c r="AL60">
        <v>0</v>
      </c>
      <c r="AM60">
        <v>0</v>
      </c>
      <c r="AN60">
        <v>0</v>
      </c>
      <c r="AO60" s="5">
        <v>7433611</v>
      </c>
      <c r="AP60">
        <v>0</v>
      </c>
      <c r="AQ60" s="5">
        <v>4115414</v>
      </c>
      <c r="AR60">
        <v>0</v>
      </c>
      <c r="AS60" s="81">
        <v>38000000</v>
      </c>
      <c r="AT60">
        <v>1</v>
      </c>
    </row>
    <row r="61" spans="1:46" x14ac:dyDescent="0.35">
      <c r="A61">
        <v>5301</v>
      </c>
      <c r="B61" t="s">
        <v>716</v>
      </c>
      <c r="C61" t="s">
        <v>918</v>
      </c>
      <c r="D61" t="s">
        <v>829</v>
      </c>
      <c r="E61" s="5">
        <v>1051254</v>
      </c>
      <c r="F61" s="5">
        <v>1051254</v>
      </c>
      <c r="G61" s="5">
        <v>1725762</v>
      </c>
      <c r="H61">
        <v>0</v>
      </c>
      <c r="I61">
        <v>0</v>
      </c>
      <c r="K61" s="5">
        <v>73298</v>
      </c>
      <c r="L61" s="5">
        <v>73298</v>
      </c>
      <c r="Q61">
        <v>0</v>
      </c>
      <c r="R61">
        <v>0</v>
      </c>
      <c r="S61">
        <v>4954</v>
      </c>
      <c r="T61">
        <v>3714</v>
      </c>
      <c r="U61">
        <v>682214</v>
      </c>
      <c r="V61">
        <v>95457</v>
      </c>
      <c r="W61">
        <v>10515</v>
      </c>
      <c r="X61" s="5">
        <v>830895</v>
      </c>
      <c r="Y61" s="5">
        <v>77262</v>
      </c>
      <c r="AA61" s="5">
        <v>1207</v>
      </c>
      <c r="AC61">
        <v>0</v>
      </c>
      <c r="AD61">
        <v>0</v>
      </c>
      <c r="AE61">
        <v>0</v>
      </c>
      <c r="AF61">
        <v>0</v>
      </c>
      <c r="AG61">
        <v>0</v>
      </c>
      <c r="AI61" s="5">
        <v>24447</v>
      </c>
      <c r="AK61">
        <v>0</v>
      </c>
      <c r="AL61">
        <v>0</v>
      </c>
      <c r="AN61">
        <v>0</v>
      </c>
      <c r="AT61">
        <v>1</v>
      </c>
    </row>
    <row r="62" spans="1:46" x14ac:dyDescent="0.35">
      <c r="A62">
        <v>5501</v>
      </c>
      <c r="B62" t="s">
        <v>717</v>
      </c>
      <c r="C62" t="s">
        <v>1143</v>
      </c>
      <c r="D62" t="s">
        <v>829</v>
      </c>
      <c r="E62" s="5">
        <v>1597443</v>
      </c>
      <c r="F62" s="5">
        <v>1597443</v>
      </c>
      <c r="G62" s="5">
        <v>1162276</v>
      </c>
      <c r="H62">
        <v>0</v>
      </c>
      <c r="I62">
        <v>0</v>
      </c>
      <c r="K62">
        <v>0</v>
      </c>
      <c r="L62">
        <v>0</v>
      </c>
      <c r="M62">
        <v>0</v>
      </c>
      <c r="N62">
        <v>0</v>
      </c>
      <c r="O62">
        <v>0</v>
      </c>
      <c r="P62">
        <v>0</v>
      </c>
      <c r="Q62">
        <v>0</v>
      </c>
      <c r="R62">
        <v>0</v>
      </c>
      <c r="S62">
        <v>3717</v>
      </c>
      <c r="T62">
        <v>5446</v>
      </c>
      <c r="U62">
        <v>2319594</v>
      </c>
      <c r="V62">
        <v>218578</v>
      </c>
      <c r="W62">
        <v>31375</v>
      </c>
      <c r="X62" s="5">
        <v>1854251</v>
      </c>
      <c r="Y62" s="5">
        <v>160340</v>
      </c>
      <c r="AA62" s="5">
        <v>172340</v>
      </c>
      <c r="AC62" s="5">
        <v>34166</v>
      </c>
      <c r="AD62">
        <v>0</v>
      </c>
      <c r="AE62" s="5">
        <v>34166</v>
      </c>
      <c r="AF62">
        <v>0</v>
      </c>
      <c r="AG62">
        <v>0</v>
      </c>
      <c r="AH62">
        <v>0</v>
      </c>
      <c r="AI62" s="5">
        <v>750880</v>
      </c>
      <c r="AK62">
        <v>0</v>
      </c>
      <c r="AL62">
        <v>0</v>
      </c>
      <c r="AM62">
        <v>0</v>
      </c>
      <c r="AO62">
        <v>0</v>
      </c>
      <c r="AP62">
        <v>0</v>
      </c>
      <c r="AQ62" s="5">
        <v>266542</v>
      </c>
      <c r="AR62">
        <v>0</v>
      </c>
      <c r="AS62">
        <v>0</v>
      </c>
      <c r="AT62">
        <v>1</v>
      </c>
    </row>
    <row r="63" spans="1:46" x14ac:dyDescent="0.35">
      <c r="A63">
        <v>5601</v>
      </c>
      <c r="B63" t="s">
        <v>718</v>
      </c>
      <c r="C63" t="s">
        <v>923</v>
      </c>
      <c r="D63" t="s">
        <v>829</v>
      </c>
      <c r="E63" s="5">
        <v>2240281</v>
      </c>
      <c r="F63" s="5">
        <v>2240281</v>
      </c>
      <c r="G63" s="5">
        <v>3066389</v>
      </c>
      <c r="H63">
        <v>0</v>
      </c>
      <c r="I63">
        <v>0</v>
      </c>
      <c r="K63">
        <v>0</v>
      </c>
      <c r="L63">
        <v>0</v>
      </c>
      <c r="M63">
        <v>0</v>
      </c>
      <c r="N63">
        <v>0</v>
      </c>
      <c r="O63">
        <v>0</v>
      </c>
      <c r="P63">
        <v>0</v>
      </c>
      <c r="Q63" s="5">
        <v>33610</v>
      </c>
      <c r="R63">
        <v>0</v>
      </c>
      <c r="S63">
        <v>4021</v>
      </c>
      <c r="T63">
        <v>6713</v>
      </c>
      <c r="U63">
        <v>2278457</v>
      </c>
      <c r="V63">
        <v>217743</v>
      </c>
      <c r="W63">
        <v>25308</v>
      </c>
      <c r="X63" s="5">
        <v>2449359</v>
      </c>
      <c r="Y63" s="5">
        <v>33610</v>
      </c>
      <c r="AA63">
        <v>0</v>
      </c>
      <c r="AC63">
        <v>0</v>
      </c>
      <c r="AD63">
        <v>0</v>
      </c>
      <c r="AE63">
        <v>0</v>
      </c>
      <c r="AF63">
        <v>0</v>
      </c>
      <c r="AG63">
        <v>0</v>
      </c>
      <c r="AH63">
        <v>0</v>
      </c>
      <c r="AI63" s="5">
        <v>33610</v>
      </c>
      <c r="AK63">
        <v>0</v>
      </c>
      <c r="AL63">
        <v>0</v>
      </c>
      <c r="AM63">
        <v>0</v>
      </c>
      <c r="AN63">
        <v>0</v>
      </c>
      <c r="AO63">
        <v>0</v>
      </c>
      <c r="AP63">
        <v>0</v>
      </c>
      <c r="AQ63">
        <v>0</v>
      </c>
      <c r="AR63">
        <v>0</v>
      </c>
      <c r="AS63">
        <v>0</v>
      </c>
      <c r="AT63">
        <v>1</v>
      </c>
    </row>
    <row r="64" spans="1:46" x14ac:dyDescent="0.35">
      <c r="A64">
        <v>5611</v>
      </c>
      <c r="B64" t="s">
        <v>719</v>
      </c>
      <c r="C64" t="s">
        <v>924</v>
      </c>
      <c r="D64" t="s">
        <v>829</v>
      </c>
      <c r="E64" s="5">
        <v>1618454</v>
      </c>
      <c r="F64" s="5">
        <v>1665272</v>
      </c>
      <c r="G64" s="5">
        <v>1243823</v>
      </c>
      <c r="H64">
        <v>0</v>
      </c>
      <c r="I64">
        <v>0</v>
      </c>
      <c r="K64">
        <v>0</v>
      </c>
      <c r="L64">
        <v>0</v>
      </c>
      <c r="M64">
        <v>0</v>
      </c>
      <c r="N64">
        <v>0</v>
      </c>
      <c r="O64">
        <v>0</v>
      </c>
      <c r="P64">
        <v>0</v>
      </c>
      <c r="Q64">
        <v>0</v>
      </c>
      <c r="R64">
        <v>0</v>
      </c>
      <c r="S64">
        <v>2114</v>
      </c>
      <c r="T64">
        <v>5381</v>
      </c>
      <c r="U64">
        <v>2746247</v>
      </c>
      <c r="V64">
        <v>183872</v>
      </c>
      <c r="W64">
        <v>13365</v>
      </c>
      <c r="X64" s="5">
        <v>2510247</v>
      </c>
      <c r="Y64" s="5">
        <v>238905</v>
      </c>
      <c r="AA64" s="5">
        <v>57788</v>
      </c>
      <c r="AC64" s="5">
        <v>174452</v>
      </c>
      <c r="AD64" s="5">
        <v>174452</v>
      </c>
      <c r="AE64">
        <v>0</v>
      </c>
      <c r="AF64">
        <v>0</v>
      </c>
      <c r="AG64">
        <v>0</v>
      </c>
      <c r="AH64">
        <v>0</v>
      </c>
      <c r="AI64" s="5">
        <v>452000</v>
      </c>
      <c r="AK64" s="5">
        <v>215000</v>
      </c>
      <c r="AL64">
        <v>0</v>
      </c>
      <c r="AM64">
        <v>0</v>
      </c>
      <c r="AN64">
        <v>0</v>
      </c>
      <c r="AO64" s="5">
        <v>215000</v>
      </c>
      <c r="AP64">
        <v>0</v>
      </c>
      <c r="AQ64" s="5">
        <v>233178</v>
      </c>
      <c r="AR64">
        <v>0</v>
      </c>
      <c r="AS64">
        <v>0</v>
      </c>
      <c r="AT64">
        <v>1</v>
      </c>
    </row>
    <row r="65" spans="1:46" x14ac:dyDescent="0.35">
      <c r="A65">
        <v>5701</v>
      </c>
      <c r="B65" t="s">
        <v>720</v>
      </c>
      <c r="C65" t="s">
        <v>927</v>
      </c>
      <c r="D65" t="s">
        <v>829</v>
      </c>
      <c r="E65" s="5">
        <v>2558999</v>
      </c>
      <c r="F65" s="5">
        <v>2558999</v>
      </c>
      <c r="G65" s="5">
        <v>1993163</v>
      </c>
      <c r="H65">
        <v>0</v>
      </c>
      <c r="I65">
        <v>0</v>
      </c>
      <c r="K65" s="5">
        <v>66298</v>
      </c>
      <c r="L65">
        <v>0</v>
      </c>
      <c r="M65" s="5">
        <v>18038</v>
      </c>
      <c r="N65" s="5">
        <v>46753</v>
      </c>
      <c r="O65" s="5">
        <v>1507</v>
      </c>
      <c r="P65">
        <v>0</v>
      </c>
      <c r="Q65">
        <v>0</v>
      </c>
      <c r="R65">
        <v>0</v>
      </c>
      <c r="S65">
        <v>7394</v>
      </c>
      <c r="T65">
        <v>5121</v>
      </c>
      <c r="U65">
        <v>2915554</v>
      </c>
      <c r="V65">
        <v>287386</v>
      </c>
      <c r="W65">
        <v>29854</v>
      </c>
      <c r="X65" s="5">
        <v>4365267</v>
      </c>
      <c r="Y65">
        <v>0</v>
      </c>
      <c r="AA65" s="5">
        <v>81997</v>
      </c>
      <c r="AC65" s="5">
        <v>117092</v>
      </c>
      <c r="AD65">
        <v>0</v>
      </c>
      <c r="AE65" s="5">
        <v>68452</v>
      </c>
      <c r="AF65" s="5">
        <v>48640</v>
      </c>
      <c r="AG65">
        <v>0</v>
      </c>
      <c r="AH65">
        <v>0</v>
      </c>
      <c r="AI65" s="5">
        <v>349544</v>
      </c>
      <c r="AK65">
        <v>0</v>
      </c>
      <c r="AL65">
        <v>0</v>
      </c>
      <c r="AM65">
        <v>0</v>
      </c>
      <c r="AO65">
        <v>0</v>
      </c>
      <c r="AP65">
        <v>0</v>
      </c>
      <c r="AQ65" s="5">
        <v>61573</v>
      </c>
      <c r="AR65">
        <v>0</v>
      </c>
      <c r="AS65">
        <v>0</v>
      </c>
      <c r="AT65">
        <v>1</v>
      </c>
    </row>
    <row r="66" spans="1:46" x14ac:dyDescent="0.35">
      <c r="A66">
        <v>5800</v>
      </c>
      <c r="B66" t="s">
        <v>520</v>
      </c>
      <c r="C66" t="s">
        <v>520</v>
      </c>
      <c r="D66" t="s">
        <v>829</v>
      </c>
      <c r="E66" s="5">
        <v>1491077</v>
      </c>
      <c r="F66" s="5">
        <v>1758229</v>
      </c>
      <c r="G66" s="5">
        <v>860030</v>
      </c>
      <c r="H66">
        <v>0</v>
      </c>
      <c r="I66">
        <v>0</v>
      </c>
      <c r="K66">
        <v>0</v>
      </c>
      <c r="L66">
        <v>0</v>
      </c>
      <c r="M66">
        <v>0</v>
      </c>
      <c r="N66">
        <v>0</v>
      </c>
      <c r="O66">
        <v>0</v>
      </c>
      <c r="P66">
        <v>0</v>
      </c>
      <c r="Q66">
        <v>0</v>
      </c>
      <c r="R66">
        <v>0</v>
      </c>
      <c r="S66">
        <v>5796</v>
      </c>
      <c r="T66">
        <v>3252</v>
      </c>
      <c r="U66">
        <v>2876059</v>
      </c>
      <c r="V66">
        <v>237049</v>
      </c>
      <c r="W66">
        <v>27297</v>
      </c>
      <c r="X66" s="5">
        <v>2770395</v>
      </c>
      <c r="Y66">
        <v>0</v>
      </c>
      <c r="AA66">
        <v>0</v>
      </c>
      <c r="AC66">
        <v>0</v>
      </c>
      <c r="AD66">
        <v>0</v>
      </c>
      <c r="AE66">
        <v>0</v>
      </c>
      <c r="AF66">
        <v>0</v>
      </c>
      <c r="AG66">
        <v>0</v>
      </c>
      <c r="AH66">
        <v>0</v>
      </c>
      <c r="AI66" s="5">
        <v>779583</v>
      </c>
      <c r="AK66" s="5">
        <v>1876770</v>
      </c>
      <c r="AL66">
        <v>0</v>
      </c>
      <c r="AM66">
        <v>0</v>
      </c>
      <c r="AN66">
        <v>0</v>
      </c>
      <c r="AO66" s="5">
        <v>1876770</v>
      </c>
      <c r="AP66">
        <v>0</v>
      </c>
      <c r="AQ66" s="5">
        <v>270141</v>
      </c>
      <c r="AR66">
        <v>0</v>
      </c>
      <c r="AS66">
        <v>0</v>
      </c>
      <c r="AT66">
        <v>1</v>
      </c>
    </row>
    <row r="67" spans="1:46" x14ac:dyDescent="0.35">
      <c r="A67">
        <v>5931</v>
      </c>
      <c r="B67" t="s">
        <v>721</v>
      </c>
      <c r="C67" t="s">
        <v>931</v>
      </c>
      <c r="D67" t="s">
        <v>829</v>
      </c>
      <c r="E67" s="5">
        <v>547572</v>
      </c>
      <c r="F67" s="5">
        <v>547572</v>
      </c>
      <c r="G67" s="5">
        <v>671957</v>
      </c>
      <c r="H67">
        <v>0</v>
      </c>
      <c r="I67">
        <v>0</v>
      </c>
      <c r="K67" s="5">
        <v>20797</v>
      </c>
      <c r="L67" s="5">
        <v>20797</v>
      </c>
      <c r="M67">
        <v>0</v>
      </c>
      <c r="N67">
        <v>0</v>
      </c>
      <c r="O67">
        <v>0</v>
      </c>
      <c r="P67">
        <v>0</v>
      </c>
      <c r="Q67">
        <v>0</v>
      </c>
      <c r="R67">
        <v>0</v>
      </c>
      <c r="S67">
        <v>2315</v>
      </c>
      <c r="T67">
        <v>807</v>
      </c>
      <c r="U67">
        <v>636000</v>
      </c>
      <c r="V67">
        <v>69471</v>
      </c>
      <c r="W67">
        <v>11909</v>
      </c>
      <c r="X67" s="5">
        <v>609781</v>
      </c>
      <c r="Y67">
        <v>0</v>
      </c>
      <c r="AA67">
        <v>0</v>
      </c>
      <c r="AC67" s="5">
        <v>20797</v>
      </c>
      <c r="AD67" s="5">
        <v>20797</v>
      </c>
      <c r="AE67">
        <v>0</v>
      </c>
      <c r="AF67">
        <v>0</v>
      </c>
      <c r="AG67">
        <v>0</v>
      </c>
      <c r="AH67">
        <v>0</v>
      </c>
      <c r="AI67">
        <v>0</v>
      </c>
      <c r="AK67">
        <v>0</v>
      </c>
      <c r="AL67">
        <v>0</v>
      </c>
      <c r="AM67">
        <v>0</v>
      </c>
      <c r="AN67">
        <v>0</v>
      </c>
      <c r="AO67">
        <v>0</v>
      </c>
      <c r="AP67">
        <v>0</v>
      </c>
      <c r="AQ67">
        <v>0</v>
      </c>
      <c r="AR67">
        <v>0</v>
      </c>
      <c r="AS67">
        <v>0</v>
      </c>
      <c r="AT67">
        <v>1</v>
      </c>
    </row>
    <row r="68" spans="1:46" x14ac:dyDescent="0.35">
      <c r="A68">
        <v>5961</v>
      </c>
      <c r="B68" t="s">
        <v>523</v>
      </c>
      <c r="C68" t="s">
        <v>933</v>
      </c>
      <c r="D68" t="s">
        <v>829</v>
      </c>
      <c r="E68" s="5">
        <v>237308</v>
      </c>
      <c r="F68" s="5">
        <v>237308</v>
      </c>
      <c r="G68" s="5">
        <v>147705</v>
      </c>
      <c r="H68">
        <v>0</v>
      </c>
      <c r="I68">
        <v>0</v>
      </c>
      <c r="J68" s="5">
        <v>10339</v>
      </c>
      <c r="Q68">
        <v>0</v>
      </c>
      <c r="R68">
        <v>0</v>
      </c>
      <c r="S68">
        <v>755</v>
      </c>
      <c r="T68">
        <v>144</v>
      </c>
      <c r="U68">
        <v>636093</v>
      </c>
      <c r="V68">
        <v>46092</v>
      </c>
      <c r="W68">
        <v>2828</v>
      </c>
      <c r="X68" s="5">
        <v>427690</v>
      </c>
      <c r="Z68">
        <v>0</v>
      </c>
      <c r="AB68" s="5">
        <v>12831</v>
      </c>
      <c r="AI68">
        <v>0</v>
      </c>
      <c r="AJ68">
        <v>0</v>
      </c>
      <c r="AM68">
        <v>0</v>
      </c>
      <c r="AT68">
        <v>1</v>
      </c>
    </row>
    <row r="69" spans="1:46" x14ac:dyDescent="0.35">
      <c r="A69">
        <v>6001</v>
      </c>
      <c r="B69" t="s">
        <v>722</v>
      </c>
      <c r="C69" t="s">
        <v>1144</v>
      </c>
      <c r="D69" t="s">
        <v>829</v>
      </c>
      <c r="E69" s="5">
        <v>4463555</v>
      </c>
      <c r="F69" s="5">
        <v>4463555</v>
      </c>
      <c r="G69" s="5">
        <v>5710645</v>
      </c>
      <c r="H69">
        <v>0</v>
      </c>
      <c r="I69">
        <v>0</v>
      </c>
      <c r="J69">
        <v>0</v>
      </c>
      <c r="Q69">
        <v>0</v>
      </c>
      <c r="R69">
        <v>0</v>
      </c>
      <c r="S69">
        <v>11354</v>
      </c>
      <c r="T69">
        <v>12613</v>
      </c>
      <c r="U69">
        <v>7136367</v>
      </c>
      <c r="V69">
        <v>557915</v>
      </c>
      <c r="W69">
        <v>72624</v>
      </c>
      <c r="X69" s="5">
        <v>3097408</v>
      </c>
      <c r="Z69">
        <v>0</v>
      </c>
      <c r="AB69">
        <v>0</v>
      </c>
      <c r="AI69">
        <v>0</v>
      </c>
      <c r="AJ69">
        <v>0</v>
      </c>
      <c r="AM69">
        <v>0</v>
      </c>
      <c r="AT69">
        <v>1</v>
      </c>
    </row>
    <row r="70" spans="1:46" x14ac:dyDescent="0.35">
      <c r="A70">
        <v>6101</v>
      </c>
      <c r="B70" t="s">
        <v>723</v>
      </c>
      <c r="C70" t="s">
        <v>937</v>
      </c>
      <c r="D70" t="s">
        <v>829</v>
      </c>
      <c r="E70" s="5">
        <v>2285496</v>
      </c>
      <c r="F70" s="5">
        <v>2281647</v>
      </c>
      <c r="G70" s="5">
        <v>1535892</v>
      </c>
      <c r="H70">
        <v>0</v>
      </c>
      <c r="I70">
        <v>0</v>
      </c>
      <c r="K70" s="5">
        <v>260947</v>
      </c>
      <c r="L70" s="5">
        <v>12615</v>
      </c>
      <c r="M70" s="5">
        <v>248332</v>
      </c>
      <c r="N70">
        <v>0</v>
      </c>
      <c r="O70">
        <v>0</v>
      </c>
      <c r="P70">
        <v>0</v>
      </c>
      <c r="Q70">
        <v>0</v>
      </c>
      <c r="R70">
        <v>0</v>
      </c>
      <c r="S70">
        <v>2821</v>
      </c>
      <c r="T70">
        <v>7046</v>
      </c>
      <c r="U70">
        <v>3198244</v>
      </c>
      <c r="V70">
        <v>278120</v>
      </c>
      <c r="W70">
        <v>50011</v>
      </c>
      <c r="X70" s="5">
        <v>3211246</v>
      </c>
      <c r="Y70">
        <v>0</v>
      </c>
      <c r="AA70">
        <v>0</v>
      </c>
      <c r="AC70" s="5">
        <v>260947</v>
      </c>
      <c r="AD70" s="5">
        <v>12615</v>
      </c>
      <c r="AE70" s="5">
        <v>248332</v>
      </c>
      <c r="AF70">
        <v>0</v>
      </c>
      <c r="AG70">
        <v>0</v>
      </c>
      <c r="AH70">
        <v>0</v>
      </c>
      <c r="AI70">
        <v>0</v>
      </c>
      <c r="AK70">
        <v>0</v>
      </c>
      <c r="AL70">
        <v>0</v>
      </c>
      <c r="AM70">
        <v>0</v>
      </c>
      <c r="AN70">
        <v>0</v>
      </c>
      <c r="AO70">
        <v>0</v>
      </c>
      <c r="AP70">
        <v>0</v>
      </c>
      <c r="AQ70">
        <v>0</v>
      </c>
      <c r="AR70">
        <v>0</v>
      </c>
      <c r="AS70">
        <v>0</v>
      </c>
      <c r="AT70">
        <v>1</v>
      </c>
    </row>
    <row r="71" spans="1:46" x14ac:dyDescent="0.35">
      <c r="A71">
        <v>6231</v>
      </c>
      <c r="B71" t="s">
        <v>724</v>
      </c>
      <c r="C71" t="s">
        <v>938</v>
      </c>
      <c r="D71" t="s">
        <v>829</v>
      </c>
      <c r="E71" s="5">
        <v>2426295</v>
      </c>
      <c r="F71" s="5">
        <v>2426295</v>
      </c>
      <c r="G71" s="5">
        <v>2041514</v>
      </c>
      <c r="H71">
        <v>0</v>
      </c>
      <c r="I71">
        <v>0</v>
      </c>
      <c r="K71">
        <v>0</v>
      </c>
      <c r="L71">
        <v>0</v>
      </c>
      <c r="M71">
        <v>0</v>
      </c>
      <c r="N71">
        <v>0</v>
      </c>
      <c r="O71">
        <v>0</v>
      </c>
      <c r="P71">
        <v>0</v>
      </c>
      <c r="Q71">
        <v>0</v>
      </c>
      <c r="R71">
        <v>0</v>
      </c>
      <c r="S71">
        <v>2615</v>
      </c>
      <c r="T71">
        <v>19055</v>
      </c>
      <c r="U71">
        <v>2908545</v>
      </c>
      <c r="V71">
        <v>225192</v>
      </c>
      <c r="W71">
        <v>27306</v>
      </c>
      <c r="X71" s="5">
        <v>3210501</v>
      </c>
      <c r="Y71">
        <v>0</v>
      </c>
      <c r="AA71" s="5">
        <v>38713</v>
      </c>
      <c r="AC71" s="5">
        <v>318534</v>
      </c>
      <c r="AD71" s="5">
        <v>108938</v>
      </c>
      <c r="AE71" s="5">
        <v>66456</v>
      </c>
      <c r="AF71" s="5">
        <v>143140</v>
      </c>
      <c r="AG71">
        <v>0</v>
      </c>
      <c r="AH71">
        <v>0</v>
      </c>
      <c r="AI71">
        <v>585</v>
      </c>
      <c r="AK71">
        <v>0</v>
      </c>
      <c r="AL71">
        <v>0</v>
      </c>
      <c r="AM71">
        <v>0</v>
      </c>
      <c r="AN71">
        <v>0</v>
      </c>
      <c r="AO71">
        <v>0</v>
      </c>
      <c r="AP71">
        <v>0</v>
      </c>
      <c r="AQ71" s="5">
        <v>85543</v>
      </c>
      <c r="AR71">
        <v>0</v>
      </c>
      <c r="AS71">
        <v>0</v>
      </c>
      <c r="AT71">
        <v>1</v>
      </c>
    </row>
    <row r="72" spans="1:46" x14ac:dyDescent="0.35">
      <c r="A72">
        <v>6261</v>
      </c>
      <c r="B72" t="s">
        <v>725</v>
      </c>
      <c r="C72" t="s">
        <v>940</v>
      </c>
      <c r="D72" t="s">
        <v>829</v>
      </c>
      <c r="E72" s="5">
        <v>2559302</v>
      </c>
      <c r="F72" s="5">
        <v>2559302</v>
      </c>
      <c r="G72" s="5">
        <v>919820</v>
      </c>
      <c r="H72">
        <v>0</v>
      </c>
      <c r="I72">
        <v>0</v>
      </c>
      <c r="K72">
        <v>0</v>
      </c>
      <c r="L72">
        <v>0</v>
      </c>
      <c r="M72">
        <v>0</v>
      </c>
      <c r="N72">
        <v>0</v>
      </c>
      <c r="O72">
        <v>0</v>
      </c>
      <c r="P72">
        <v>0</v>
      </c>
      <c r="Q72">
        <v>0</v>
      </c>
      <c r="R72">
        <v>0</v>
      </c>
      <c r="S72">
        <v>1604</v>
      </c>
      <c r="T72">
        <v>5282</v>
      </c>
      <c r="U72">
        <v>3675185</v>
      </c>
      <c r="V72">
        <v>244503</v>
      </c>
      <c r="W72">
        <v>36346</v>
      </c>
      <c r="X72" s="5">
        <v>3020950</v>
      </c>
      <c r="Y72">
        <v>0</v>
      </c>
      <c r="AA72">
        <v>0</v>
      </c>
      <c r="AC72" s="5">
        <v>64622</v>
      </c>
      <c r="AD72" s="5">
        <v>64211</v>
      </c>
      <c r="AE72">
        <v>411</v>
      </c>
      <c r="AF72">
        <v>0</v>
      </c>
      <c r="AG72">
        <v>0</v>
      </c>
      <c r="AH72">
        <v>0</v>
      </c>
      <c r="AI72">
        <v>0</v>
      </c>
      <c r="AK72">
        <v>0</v>
      </c>
      <c r="AL72">
        <v>0</v>
      </c>
      <c r="AM72">
        <v>0</v>
      </c>
      <c r="AN72">
        <v>0</v>
      </c>
      <c r="AO72">
        <v>0</v>
      </c>
      <c r="AP72">
        <v>0</v>
      </c>
      <c r="AQ72">
        <v>0</v>
      </c>
      <c r="AR72">
        <v>0</v>
      </c>
      <c r="AS72">
        <v>0</v>
      </c>
      <c r="AT72">
        <v>1</v>
      </c>
    </row>
    <row r="73" spans="1:46" x14ac:dyDescent="0.35">
      <c r="A73">
        <v>6401</v>
      </c>
      <c r="B73" t="s">
        <v>726</v>
      </c>
      <c r="C73" t="s">
        <v>946</v>
      </c>
      <c r="D73" t="s">
        <v>829</v>
      </c>
      <c r="E73" s="5">
        <v>3183637</v>
      </c>
      <c r="F73" s="5">
        <v>3183637</v>
      </c>
      <c r="G73" s="5">
        <v>1839406</v>
      </c>
      <c r="H73">
        <v>0</v>
      </c>
      <c r="I73">
        <v>0</v>
      </c>
      <c r="K73" s="5">
        <v>5536</v>
      </c>
      <c r="L73">
        <v>0</v>
      </c>
      <c r="M73">
        <v>0</v>
      </c>
      <c r="N73" s="5">
        <v>5536</v>
      </c>
      <c r="O73">
        <v>0</v>
      </c>
      <c r="P73">
        <v>0</v>
      </c>
      <c r="Q73">
        <v>0</v>
      </c>
      <c r="R73">
        <v>0</v>
      </c>
      <c r="S73">
        <v>2778</v>
      </c>
      <c r="T73">
        <v>10763</v>
      </c>
      <c r="U73">
        <v>3090253</v>
      </c>
      <c r="V73">
        <v>317094</v>
      </c>
      <c r="W73">
        <v>39892</v>
      </c>
      <c r="X73" s="5">
        <v>3486116</v>
      </c>
      <c r="Y73">
        <v>0</v>
      </c>
      <c r="AA73" s="5">
        <v>780925</v>
      </c>
      <c r="AC73" s="5">
        <v>55727</v>
      </c>
      <c r="AD73">
        <v>0</v>
      </c>
      <c r="AE73">
        <v>0</v>
      </c>
      <c r="AF73" s="5">
        <v>55727</v>
      </c>
      <c r="AG73">
        <v>0</v>
      </c>
      <c r="AH73">
        <v>0</v>
      </c>
      <c r="AI73">
        <v>0</v>
      </c>
      <c r="AK73">
        <v>0</v>
      </c>
      <c r="AL73">
        <v>0</v>
      </c>
      <c r="AM73">
        <v>0</v>
      </c>
      <c r="AN73">
        <v>0</v>
      </c>
      <c r="AO73">
        <v>0</v>
      </c>
      <c r="AP73">
        <v>0</v>
      </c>
      <c r="AQ73" s="5">
        <v>346791</v>
      </c>
      <c r="AR73">
        <v>0</v>
      </c>
      <c r="AS73">
        <v>0</v>
      </c>
      <c r="AT73">
        <v>1</v>
      </c>
    </row>
    <row r="74" spans="1:46" x14ac:dyDescent="0.35">
      <c r="A74">
        <v>6601</v>
      </c>
      <c r="B74" t="s">
        <v>543</v>
      </c>
      <c r="C74" t="s">
        <v>952</v>
      </c>
      <c r="D74" t="s">
        <v>829</v>
      </c>
      <c r="E74" s="5">
        <v>1795772</v>
      </c>
      <c r="F74" s="5">
        <v>2051023</v>
      </c>
      <c r="G74" s="5">
        <v>1783818</v>
      </c>
      <c r="H74" s="5">
        <v>5290</v>
      </c>
      <c r="I74" s="5">
        <v>1303</v>
      </c>
      <c r="K74" s="5">
        <v>70473</v>
      </c>
      <c r="L74" s="5">
        <v>70473</v>
      </c>
      <c r="M74">
        <v>0</v>
      </c>
      <c r="N74">
        <v>0</v>
      </c>
      <c r="O74">
        <v>0</v>
      </c>
      <c r="P74">
        <v>0</v>
      </c>
      <c r="Q74">
        <v>0</v>
      </c>
      <c r="R74">
        <v>0</v>
      </c>
      <c r="S74">
        <v>4060</v>
      </c>
      <c r="T74">
        <v>7396</v>
      </c>
      <c r="U74">
        <v>4100165</v>
      </c>
      <c r="V74">
        <v>315594</v>
      </c>
      <c r="W74">
        <v>26037</v>
      </c>
      <c r="X74" s="5">
        <v>2018396</v>
      </c>
      <c r="Y74" s="5">
        <v>307671</v>
      </c>
      <c r="AA74" s="5">
        <v>53153</v>
      </c>
      <c r="AC74" s="5">
        <v>80461</v>
      </c>
      <c r="AD74" s="5">
        <v>80461</v>
      </c>
      <c r="AE74">
        <v>0</v>
      </c>
      <c r="AF74">
        <v>0</v>
      </c>
      <c r="AG74">
        <v>0</v>
      </c>
      <c r="AH74">
        <v>0</v>
      </c>
      <c r="AI74" s="5">
        <v>50000</v>
      </c>
      <c r="AK74">
        <v>0</v>
      </c>
      <c r="AL74">
        <v>0</v>
      </c>
      <c r="AM74" s="5">
        <v>41170</v>
      </c>
      <c r="AN74">
        <v>0</v>
      </c>
      <c r="AO74">
        <v>0</v>
      </c>
      <c r="AP74">
        <v>0</v>
      </c>
      <c r="AQ74">
        <v>0</v>
      </c>
      <c r="AT74">
        <v>1</v>
      </c>
    </row>
    <row r="75" spans="1:46" x14ac:dyDescent="0.35">
      <c r="A75">
        <v>6716</v>
      </c>
      <c r="B75" t="s">
        <v>727</v>
      </c>
      <c r="C75" t="s">
        <v>1145</v>
      </c>
      <c r="D75" t="s">
        <v>829</v>
      </c>
      <c r="E75" s="5">
        <v>8437112</v>
      </c>
      <c r="F75" s="5">
        <v>8606141</v>
      </c>
      <c r="G75" s="5">
        <v>2918656</v>
      </c>
      <c r="H75">
        <v>0</v>
      </c>
      <c r="I75">
        <v>0</v>
      </c>
      <c r="K75">
        <v>0</v>
      </c>
      <c r="L75">
        <v>0</v>
      </c>
      <c r="M75">
        <v>0</v>
      </c>
      <c r="N75">
        <v>0</v>
      </c>
      <c r="O75">
        <v>0</v>
      </c>
      <c r="P75">
        <v>0</v>
      </c>
      <c r="Q75">
        <v>0</v>
      </c>
      <c r="R75">
        <v>0</v>
      </c>
      <c r="S75">
        <v>29227</v>
      </c>
      <c r="T75">
        <v>24374</v>
      </c>
      <c r="U75">
        <v>12935649</v>
      </c>
      <c r="V75">
        <v>827827</v>
      </c>
      <c r="W75">
        <v>91780</v>
      </c>
      <c r="X75" s="5">
        <v>8600259</v>
      </c>
      <c r="Y75" s="5">
        <v>40571</v>
      </c>
      <c r="AA75" s="5">
        <v>3596908</v>
      </c>
      <c r="AC75" s="5">
        <v>604206</v>
      </c>
      <c r="AD75" s="5">
        <v>497242</v>
      </c>
      <c r="AE75" s="5">
        <v>106964</v>
      </c>
      <c r="AF75">
        <v>0</v>
      </c>
      <c r="AG75">
        <v>0</v>
      </c>
      <c r="AH75">
        <v>0</v>
      </c>
      <c r="AI75" s="5">
        <v>4168810</v>
      </c>
      <c r="AK75" s="5">
        <v>1470403</v>
      </c>
      <c r="AL75">
        <v>0</v>
      </c>
      <c r="AM75">
        <v>0</v>
      </c>
      <c r="AN75">
        <v>0</v>
      </c>
      <c r="AO75" s="5">
        <v>1470403</v>
      </c>
      <c r="AP75">
        <v>0</v>
      </c>
      <c r="AQ75" s="5">
        <v>1426509</v>
      </c>
      <c r="AR75">
        <v>0</v>
      </c>
      <c r="AS75">
        <v>0</v>
      </c>
      <c r="AT75">
        <v>1</v>
      </c>
    </row>
    <row r="76" spans="1:46" x14ac:dyDescent="0.35">
      <c r="A76">
        <v>6721</v>
      </c>
      <c r="B76" t="s">
        <v>548</v>
      </c>
      <c r="C76" t="s">
        <v>957</v>
      </c>
      <c r="D76" t="s">
        <v>829</v>
      </c>
      <c r="E76" s="5">
        <v>169029</v>
      </c>
      <c r="F76">
        <v>0</v>
      </c>
      <c r="G76" s="5">
        <v>103786</v>
      </c>
      <c r="H76">
        <v>0</v>
      </c>
      <c r="I76">
        <v>0</v>
      </c>
      <c r="J76">
        <v>0</v>
      </c>
      <c r="Q76">
        <v>0</v>
      </c>
      <c r="R76">
        <v>0</v>
      </c>
      <c r="X76">
        <v>0</v>
      </c>
      <c r="Z76">
        <v>0</v>
      </c>
      <c r="AB76">
        <v>0</v>
      </c>
      <c r="AI76">
        <v>0</v>
      </c>
      <c r="AJ76">
        <v>0</v>
      </c>
      <c r="AM76">
        <v>0</v>
      </c>
      <c r="AT76">
        <v>1</v>
      </c>
    </row>
    <row r="77" spans="1:46" x14ac:dyDescent="0.35">
      <c r="A77">
        <v>6900</v>
      </c>
      <c r="B77" t="s">
        <v>728</v>
      </c>
      <c r="C77" t="s">
        <v>968</v>
      </c>
      <c r="D77" t="s">
        <v>829</v>
      </c>
      <c r="E77" s="5">
        <v>2160260</v>
      </c>
      <c r="F77" s="5">
        <v>2604294</v>
      </c>
      <c r="G77" s="5">
        <v>1662024</v>
      </c>
      <c r="H77">
        <v>0</v>
      </c>
      <c r="I77">
        <v>0</v>
      </c>
      <c r="K77">
        <v>0</v>
      </c>
      <c r="L77">
        <v>0</v>
      </c>
      <c r="M77">
        <v>0</v>
      </c>
      <c r="N77">
        <v>0</v>
      </c>
      <c r="O77">
        <v>0</v>
      </c>
      <c r="P77">
        <v>0</v>
      </c>
      <c r="Q77">
        <v>0</v>
      </c>
      <c r="R77">
        <v>0</v>
      </c>
      <c r="S77">
        <v>4527</v>
      </c>
      <c r="T77">
        <v>12770</v>
      </c>
      <c r="U77">
        <v>5334748</v>
      </c>
      <c r="V77">
        <v>272896</v>
      </c>
      <c r="W77">
        <v>30010</v>
      </c>
      <c r="X77" s="5">
        <v>2784734</v>
      </c>
      <c r="Y77">
        <v>0</v>
      </c>
      <c r="AA77" s="5">
        <v>183952</v>
      </c>
      <c r="AC77">
        <v>0</v>
      </c>
      <c r="AD77">
        <v>0</v>
      </c>
      <c r="AE77">
        <v>0</v>
      </c>
      <c r="AF77">
        <v>0</v>
      </c>
      <c r="AG77">
        <v>0</v>
      </c>
      <c r="AH77">
        <v>0</v>
      </c>
      <c r="AI77">
        <v>0</v>
      </c>
      <c r="AK77">
        <v>0</v>
      </c>
      <c r="AL77">
        <v>0</v>
      </c>
      <c r="AM77">
        <v>0</v>
      </c>
      <c r="AN77">
        <v>0</v>
      </c>
      <c r="AO77">
        <v>0</v>
      </c>
      <c r="AP77">
        <v>0</v>
      </c>
      <c r="AQ77" s="5">
        <v>189925</v>
      </c>
      <c r="AR77">
        <v>0</v>
      </c>
      <c r="AS77">
        <v>0</v>
      </c>
      <c r="AT77">
        <v>1</v>
      </c>
    </row>
    <row r="78" spans="1:46" x14ac:dyDescent="0.35">
      <c r="A78">
        <v>7001</v>
      </c>
      <c r="B78" t="s">
        <v>729</v>
      </c>
      <c r="C78" t="s">
        <v>1146</v>
      </c>
      <c r="D78" t="s">
        <v>829</v>
      </c>
      <c r="E78" s="5">
        <v>4588000</v>
      </c>
      <c r="F78" s="5">
        <v>4588000</v>
      </c>
      <c r="G78" s="5">
        <v>965000</v>
      </c>
      <c r="H78">
        <v>0</v>
      </c>
      <c r="I78">
        <v>0</v>
      </c>
      <c r="K78">
        <v>0</v>
      </c>
      <c r="L78">
        <v>0</v>
      </c>
      <c r="M78">
        <v>0</v>
      </c>
      <c r="N78">
        <v>0</v>
      </c>
      <c r="O78">
        <v>0</v>
      </c>
      <c r="P78">
        <v>0</v>
      </c>
      <c r="Q78">
        <v>0</v>
      </c>
      <c r="R78">
        <v>0</v>
      </c>
      <c r="S78">
        <v>5797</v>
      </c>
      <c r="T78">
        <v>16205</v>
      </c>
      <c r="U78">
        <v>4482241</v>
      </c>
      <c r="V78">
        <v>326795</v>
      </c>
      <c r="W78">
        <v>41603</v>
      </c>
      <c r="X78" s="5">
        <v>3482000</v>
      </c>
      <c r="Y78">
        <v>0</v>
      </c>
      <c r="AA78" s="5">
        <v>1397000</v>
      </c>
      <c r="AC78" s="5">
        <v>30914</v>
      </c>
      <c r="AD78">
        <v>0</v>
      </c>
      <c r="AE78" s="5">
        <v>30914</v>
      </c>
      <c r="AF78">
        <v>0</v>
      </c>
      <c r="AG78">
        <v>0</v>
      </c>
      <c r="AH78">
        <v>0</v>
      </c>
      <c r="AI78" s="5">
        <v>1996160</v>
      </c>
      <c r="AK78" s="5">
        <v>701000</v>
      </c>
      <c r="AL78">
        <v>0</v>
      </c>
      <c r="AM78">
        <v>0</v>
      </c>
      <c r="AN78">
        <v>0</v>
      </c>
      <c r="AO78" s="5">
        <v>701000</v>
      </c>
      <c r="AP78">
        <v>0</v>
      </c>
      <c r="AQ78" s="5">
        <v>856442</v>
      </c>
      <c r="AR78">
        <v>0</v>
      </c>
      <c r="AS78">
        <v>0</v>
      </c>
      <c r="AT78">
        <v>1</v>
      </c>
    </row>
    <row r="79" spans="1:46" x14ac:dyDescent="0.35">
      <c r="A79">
        <v>7101</v>
      </c>
      <c r="B79" t="s">
        <v>730</v>
      </c>
      <c r="C79" t="s">
        <v>1147</v>
      </c>
      <c r="D79" t="s">
        <v>829</v>
      </c>
      <c r="E79" s="5">
        <v>5285149</v>
      </c>
      <c r="F79" s="5">
        <v>5285149</v>
      </c>
      <c r="G79" s="5">
        <v>3266796</v>
      </c>
      <c r="H79">
        <v>0</v>
      </c>
      <c r="I79">
        <v>0</v>
      </c>
      <c r="K79">
        <v>0</v>
      </c>
      <c r="L79">
        <v>0</v>
      </c>
      <c r="M79">
        <v>0</v>
      </c>
      <c r="N79">
        <v>0</v>
      </c>
      <c r="O79">
        <v>0</v>
      </c>
      <c r="P79">
        <v>0</v>
      </c>
      <c r="Q79">
        <v>0</v>
      </c>
      <c r="R79">
        <v>0</v>
      </c>
      <c r="S79">
        <v>12096</v>
      </c>
      <c r="T79">
        <v>17753</v>
      </c>
      <c r="U79">
        <v>7427605</v>
      </c>
      <c r="V79">
        <v>593984</v>
      </c>
      <c r="W79">
        <v>89495</v>
      </c>
      <c r="X79" s="5">
        <v>5510791</v>
      </c>
      <c r="Y79" s="5">
        <v>292481</v>
      </c>
      <c r="AA79" s="5">
        <v>3632800</v>
      </c>
      <c r="AC79" s="5">
        <v>29200</v>
      </c>
      <c r="AD79" s="5">
        <v>29200</v>
      </c>
      <c r="AE79">
        <v>0</v>
      </c>
      <c r="AF79">
        <v>0</v>
      </c>
      <c r="AG79">
        <v>0</v>
      </c>
      <c r="AH79">
        <v>0</v>
      </c>
      <c r="AI79" s="5">
        <v>2694600</v>
      </c>
      <c r="AK79" s="5">
        <v>2356200</v>
      </c>
      <c r="AL79">
        <v>0</v>
      </c>
      <c r="AM79">
        <v>0</v>
      </c>
      <c r="AN79">
        <v>0</v>
      </c>
      <c r="AO79" s="5">
        <v>2356200</v>
      </c>
      <c r="AP79">
        <v>0</v>
      </c>
      <c r="AQ79" s="5">
        <v>1529800</v>
      </c>
      <c r="AR79">
        <v>0</v>
      </c>
      <c r="AS79">
        <v>0</v>
      </c>
      <c r="AT79">
        <v>1</v>
      </c>
    </row>
    <row r="80" spans="1:46" x14ac:dyDescent="0.35">
      <c r="A80">
        <v>7201</v>
      </c>
      <c r="B80" t="s">
        <v>731</v>
      </c>
      <c r="C80" t="s">
        <v>974</v>
      </c>
      <c r="D80" t="s">
        <v>829</v>
      </c>
      <c r="E80" s="5">
        <v>1368837</v>
      </c>
      <c r="F80" s="5">
        <v>1650428</v>
      </c>
      <c r="G80" s="5">
        <v>417845</v>
      </c>
      <c r="H80">
        <v>0</v>
      </c>
      <c r="I80">
        <v>0</v>
      </c>
      <c r="K80" s="5">
        <v>7100</v>
      </c>
      <c r="L80" s="5">
        <v>7100</v>
      </c>
      <c r="M80">
        <v>0</v>
      </c>
      <c r="N80">
        <v>0</v>
      </c>
      <c r="O80">
        <v>0</v>
      </c>
      <c r="P80">
        <v>0</v>
      </c>
      <c r="Q80">
        <v>0</v>
      </c>
      <c r="R80">
        <v>0</v>
      </c>
      <c r="S80">
        <v>2022</v>
      </c>
      <c r="T80">
        <v>3587</v>
      </c>
      <c r="U80">
        <v>3616111</v>
      </c>
      <c r="V80">
        <v>282474</v>
      </c>
      <c r="W80">
        <v>27994</v>
      </c>
      <c r="X80" s="5">
        <v>2324492</v>
      </c>
      <c r="Y80">
        <v>0</v>
      </c>
      <c r="AA80">
        <v>0</v>
      </c>
      <c r="AC80" s="5">
        <v>72460</v>
      </c>
      <c r="AD80" s="5">
        <v>72460</v>
      </c>
      <c r="AE80">
        <v>0</v>
      </c>
      <c r="AF80">
        <v>0</v>
      </c>
      <c r="AG80">
        <v>0</v>
      </c>
      <c r="AH80">
        <v>0</v>
      </c>
      <c r="AI80">
        <v>0</v>
      </c>
      <c r="AK80">
        <v>0</v>
      </c>
      <c r="AL80">
        <v>0</v>
      </c>
      <c r="AM80" s="5">
        <v>1485703</v>
      </c>
      <c r="AN80">
        <v>0</v>
      </c>
      <c r="AO80">
        <v>0</v>
      </c>
      <c r="AP80">
        <v>0</v>
      </c>
      <c r="AQ80">
        <v>0</v>
      </c>
      <c r="AR80">
        <v>0</v>
      </c>
      <c r="AS80">
        <v>0</v>
      </c>
      <c r="AT80">
        <v>1</v>
      </c>
    </row>
    <row r="81" spans="1:46" x14ac:dyDescent="0.35">
      <c r="A81">
        <v>7401</v>
      </c>
      <c r="B81" t="s">
        <v>569</v>
      </c>
      <c r="C81" t="s">
        <v>978</v>
      </c>
      <c r="D81" t="s">
        <v>829</v>
      </c>
      <c r="E81" s="5">
        <v>3919466</v>
      </c>
      <c r="F81" s="5">
        <v>3919466</v>
      </c>
      <c r="G81" s="5">
        <v>1364767</v>
      </c>
      <c r="H81">
        <v>0</v>
      </c>
      <c r="I81">
        <v>0</v>
      </c>
      <c r="K81">
        <v>0</v>
      </c>
      <c r="L81">
        <v>0</v>
      </c>
      <c r="M81">
        <v>0</v>
      </c>
      <c r="N81">
        <v>0</v>
      </c>
      <c r="O81">
        <v>0</v>
      </c>
      <c r="P81">
        <v>0</v>
      </c>
      <c r="Q81">
        <v>0</v>
      </c>
      <c r="R81">
        <v>0</v>
      </c>
      <c r="S81">
        <v>20939</v>
      </c>
      <c r="T81">
        <v>10594</v>
      </c>
      <c r="U81">
        <v>7743327</v>
      </c>
      <c r="V81">
        <v>564090</v>
      </c>
      <c r="W81">
        <v>78735</v>
      </c>
      <c r="X81" s="5">
        <v>4937795</v>
      </c>
      <c r="Y81">
        <v>0</v>
      </c>
      <c r="AA81" s="5">
        <v>2647794</v>
      </c>
      <c r="AC81">
        <v>0</v>
      </c>
      <c r="AD81">
        <v>0</v>
      </c>
      <c r="AE81">
        <v>0</v>
      </c>
      <c r="AF81">
        <v>0</v>
      </c>
      <c r="AG81">
        <v>0</v>
      </c>
      <c r="AH81">
        <v>0</v>
      </c>
      <c r="AI81" s="5">
        <v>2508466</v>
      </c>
      <c r="AK81">
        <v>0</v>
      </c>
      <c r="AL81">
        <v>0</v>
      </c>
      <c r="AM81">
        <v>0</v>
      </c>
      <c r="AO81">
        <v>0</v>
      </c>
      <c r="AP81">
        <v>0</v>
      </c>
      <c r="AQ81" s="5">
        <v>1221340</v>
      </c>
      <c r="AR81">
        <v>0</v>
      </c>
      <c r="AS81">
        <v>0</v>
      </c>
      <c r="AT81">
        <v>1</v>
      </c>
    </row>
    <row r="82" spans="1:46" x14ac:dyDescent="0.35">
      <c r="A82">
        <v>7431</v>
      </c>
      <c r="B82" t="s">
        <v>732</v>
      </c>
      <c r="C82" t="s">
        <v>1148</v>
      </c>
      <c r="D82" t="s">
        <v>829</v>
      </c>
      <c r="E82" s="5">
        <v>1802398</v>
      </c>
      <c r="F82" s="5">
        <v>1802398</v>
      </c>
      <c r="G82" s="5">
        <v>1154972</v>
      </c>
      <c r="H82">
        <v>0</v>
      </c>
      <c r="I82">
        <v>0</v>
      </c>
      <c r="K82">
        <v>0</v>
      </c>
      <c r="L82">
        <v>0</v>
      </c>
      <c r="M82">
        <v>0</v>
      </c>
      <c r="N82">
        <v>0</v>
      </c>
      <c r="O82">
        <v>0</v>
      </c>
      <c r="P82">
        <v>0</v>
      </c>
      <c r="Q82">
        <v>0</v>
      </c>
      <c r="R82">
        <v>0</v>
      </c>
      <c r="S82">
        <v>2352.5242499999999</v>
      </c>
      <c r="T82">
        <v>6812</v>
      </c>
      <c r="U82">
        <v>2255178</v>
      </c>
      <c r="V82">
        <v>175362</v>
      </c>
      <c r="W82">
        <v>18364</v>
      </c>
      <c r="X82" s="5">
        <v>2047156</v>
      </c>
      <c r="Y82">
        <v>0</v>
      </c>
      <c r="AA82">
        <v>0</v>
      </c>
      <c r="AC82">
        <v>0</v>
      </c>
      <c r="AD82">
        <v>0</v>
      </c>
      <c r="AE82">
        <v>0</v>
      </c>
      <c r="AF82">
        <v>0</v>
      </c>
      <c r="AG82">
        <v>0</v>
      </c>
      <c r="AH82">
        <v>0</v>
      </c>
      <c r="AI82">
        <v>0</v>
      </c>
      <c r="AK82">
        <v>0</v>
      </c>
      <c r="AL82">
        <v>0</v>
      </c>
      <c r="AM82">
        <v>0</v>
      </c>
      <c r="AN82">
        <v>0</v>
      </c>
      <c r="AO82">
        <v>0</v>
      </c>
      <c r="AP82">
        <v>0</v>
      </c>
      <c r="AQ82">
        <v>0</v>
      </c>
      <c r="AR82">
        <v>0</v>
      </c>
      <c r="AS82">
        <v>0</v>
      </c>
      <c r="AT82">
        <v>1</v>
      </c>
    </row>
    <row r="83" spans="1:46" x14ac:dyDescent="0.35">
      <c r="A83">
        <v>7501</v>
      </c>
      <c r="B83" t="s">
        <v>733</v>
      </c>
      <c r="C83" t="s">
        <v>986</v>
      </c>
      <c r="D83" t="s">
        <v>829</v>
      </c>
      <c r="E83" s="5">
        <v>3634770</v>
      </c>
      <c r="F83" s="5">
        <v>3634770</v>
      </c>
      <c r="G83" s="5">
        <v>801130</v>
      </c>
      <c r="H83">
        <v>0</v>
      </c>
      <c r="I83">
        <v>0</v>
      </c>
      <c r="K83">
        <v>0</v>
      </c>
      <c r="L83">
        <v>0</v>
      </c>
      <c r="M83">
        <v>0</v>
      </c>
      <c r="N83">
        <v>0</v>
      </c>
      <c r="O83">
        <v>0</v>
      </c>
      <c r="P83">
        <v>0</v>
      </c>
      <c r="Q83">
        <v>0</v>
      </c>
      <c r="R83">
        <v>0</v>
      </c>
      <c r="S83">
        <v>3172</v>
      </c>
      <c r="T83">
        <v>17446</v>
      </c>
      <c r="U83">
        <v>5915532</v>
      </c>
      <c r="V83">
        <v>368332</v>
      </c>
      <c r="W83">
        <v>25606</v>
      </c>
      <c r="X83" s="5">
        <v>3339270</v>
      </c>
      <c r="Y83">
        <v>0</v>
      </c>
      <c r="AA83">
        <v>0</v>
      </c>
      <c r="AC83" s="5">
        <v>521494</v>
      </c>
      <c r="AD83" s="5">
        <v>521494</v>
      </c>
      <c r="AE83">
        <v>0</v>
      </c>
      <c r="AF83">
        <v>0</v>
      </c>
      <c r="AG83">
        <v>0</v>
      </c>
      <c r="AH83">
        <v>0</v>
      </c>
      <c r="AI83">
        <v>0</v>
      </c>
      <c r="AK83">
        <v>0</v>
      </c>
      <c r="AL83">
        <v>0</v>
      </c>
      <c r="AM83" s="5">
        <v>896074</v>
      </c>
      <c r="AN83">
        <v>0</v>
      </c>
      <c r="AO83">
        <v>0</v>
      </c>
      <c r="AP83">
        <v>0</v>
      </c>
      <c r="AQ83">
        <v>0</v>
      </c>
      <c r="AT83">
        <v>1</v>
      </c>
    </row>
    <row r="84" spans="1:46" x14ac:dyDescent="0.35">
      <c r="A84">
        <v>7601</v>
      </c>
      <c r="B84" t="s">
        <v>734</v>
      </c>
      <c r="C84" t="s">
        <v>987</v>
      </c>
      <c r="D84" t="s">
        <v>829</v>
      </c>
      <c r="E84" s="5">
        <v>823538</v>
      </c>
      <c r="F84" s="5">
        <v>823538</v>
      </c>
      <c r="G84" s="5">
        <v>562980</v>
      </c>
      <c r="H84" s="5">
        <v>14590</v>
      </c>
      <c r="I84">
        <v>0</v>
      </c>
      <c r="K84">
        <v>0</v>
      </c>
      <c r="L84">
        <v>0</v>
      </c>
      <c r="M84">
        <v>0</v>
      </c>
      <c r="N84">
        <v>0</v>
      </c>
      <c r="O84">
        <v>0</v>
      </c>
      <c r="P84">
        <v>0</v>
      </c>
      <c r="Q84">
        <v>0</v>
      </c>
      <c r="R84">
        <v>0</v>
      </c>
      <c r="S84">
        <v>0</v>
      </c>
      <c r="T84">
        <v>4271</v>
      </c>
      <c r="U84">
        <v>1531230</v>
      </c>
      <c r="V84">
        <v>92017</v>
      </c>
      <c r="W84">
        <v>8088</v>
      </c>
      <c r="X84" s="5">
        <v>656210</v>
      </c>
      <c r="Y84" s="5">
        <v>115563</v>
      </c>
      <c r="AA84">
        <v>0</v>
      </c>
      <c r="AC84">
        <v>0</v>
      </c>
      <c r="AD84">
        <v>0</v>
      </c>
      <c r="AE84">
        <v>0</v>
      </c>
      <c r="AF84">
        <v>0</v>
      </c>
      <c r="AG84">
        <v>0</v>
      </c>
      <c r="AH84">
        <v>0</v>
      </c>
      <c r="AI84">
        <v>0</v>
      </c>
      <c r="AK84">
        <v>0</v>
      </c>
      <c r="AL84">
        <v>0</v>
      </c>
      <c r="AM84">
        <v>0</v>
      </c>
      <c r="AN84">
        <v>0</v>
      </c>
      <c r="AO84">
        <v>0</v>
      </c>
      <c r="AP84">
        <v>0</v>
      </c>
      <c r="AQ84">
        <v>0</v>
      </c>
      <c r="AR84">
        <v>0</v>
      </c>
      <c r="AS84">
        <v>0</v>
      </c>
      <c r="AT84">
        <v>1</v>
      </c>
    </row>
    <row r="85" spans="1:46" x14ac:dyDescent="0.35">
      <c r="A85">
        <v>7621</v>
      </c>
      <c r="B85" t="s">
        <v>579</v>
      </c>
      <c r="C85" t="s">
        <v>988</v>
      </c>
      <c r="D85" t="s">
        <v>829</v>
      </c>
      <c r="E85" s="5">
        <v>1174635</v>
      </c>
      <c r="F85" s="5">
        <v>1174635</v>
      </c>
      <c r="G85" s="5">
        <v>721393</v>
      </c>
      <c r="H85">
        <v>0</v>
      </c>
      <c r="I85">
        <v>0</v>
      </c>
      <c r="K85">
        <v>0</v>
      </c>
      <c r="L85">
        <v>0</v>
      </c>
      <c r="M85">
        <v>0</v>
      </c>
      <c r="N85">
        <v>0</v>
      </c>
      <c r="O85">
        <v>0</v>
      </c>
      <c r="P85">
        <v>0</v>
      </c>
      <c r="Q85" s="5">
        <v>30000</v>
      </c>
      <c r="R85">
        <v>0</v>
      </c>
      <c r="S85">
        <v>324</v>
      </c>
      <c r="T85">
        <v>4712</v>
      </c>
      <c r="U85">
        <v>2023824</v>
      </c>
      <c r="V85">
        <v>184817</v>
      </c>
      <c r="W85">
        <v>11628</v>
      </c>
      <c r="X85" s="5">
        <v>1626682</v>
      </c>
      <c r="Y85">
        <v>0</v>
      </c>
      <c r="AA85">
        <v>0</v>
      </c>
      <c r="AC85">
        <v>0</v>
      </c>
      <c r="AD85">
        <v>0</v>
      </c>
      <c r="AE85">
        <v>0</v>
      </c>
      <c r="AF85">
        <v>0</v>
      </c>
      <c r="AG85">
        <v>0</v>
      </c>
      <c r="AH85">
        <v>0</v>
      </c>
      <c r="AI85" s="5">
        <v>100000</v>
      </c>
      <c r="AK85">
        <v>0</v>
      </c>
      <c r="AL85">
        <v>0</v>
      </c>
      <c r="AM85">
        <v>0</v>
      </c>
      <c r="AN85">
        <v>0</v>
      </c>
      <c r="AO85">
        <v>0</v>
      </c>
      <c r="AP85">
        <v>0</v>
      </c>
      <c r="AQ85">
        <v>0</v>
      </c>
      <c r="AR85">
        <v>0</v>
      </c>
      <c r="AS85">
        <v>0</v>
      </c>
      <c r="AT85">
        <v>1</v>
      </c>
    </row>
    <row r="86" spans="1:46" x14ac:dyDescent="0.35">
      <c r="A86">
        <v>7761</v>
      </c>
      <c r="B86" t="s">
        <v>580</v>
      </c>
      <c r="C86" t="s">
        <v>989</v>
      </c>
      <c r="D86" t="s">
        <v>829</v>
      </c>
      <c r="E86" s="5">
        <v>2224681</v>
      </c>
      <c r="F86" s="5">
        <v>2224681</v>
      </c>
      <c r="G86" s="5">
        <v>1673204</v>
      </c>
      <c r="H86">
        <v>0</v>
      </c>
      <c r="I86">
        <v>0</v>
      </c>
      <c r="K86">
        <v>0</v>
      </c>
      <c r="L86">
        <v>0</v>
      </c>
      <c r="M86">
        <v>0</v>
      </c>
      <c r="N86">
        <v>0</v>
      </c>
      <c r="O86">
        <v>0</v>
      </c>
      <c r="P86">
        <v>0</v>
      </c>
      <c r="Q86">
        <v>0</v>
      </c>
      <c r="R86">
        <v>0</v>
      </c>
      <c r="S86">
        <v>3312</v>
      </c>
      <c r="T86">
        <v>4987</v>
      </c>
      <c r="U86">
        <v>5427993</v>
      </c>
      <c r="V86">
        <v>456451</v>
      </c>
      <c r="W86">
        <v>28268</v>
      </c>
      <c r="X86" s="5">
        <v>3593222</v>
      </c>
      <c r="Y86">
        <v>0</v>
      </c>
      <c r="AA86" s="5">
        <v>1876389</v>
      </c>
      <c r="AC86" s="5">
        <v>272332</v>
      </c>
      <c r="AD86">
        <v>0</v>
      </c>
      <c r="AE86" s="5">
        <v>151718</v>
      </c>
      <c r="AF86" s="5">
        <v>120614</v>
      </c>
      <c r="AG86">
        <v>0</v>
      </c>
      <c r="AH86">
        <v>0</v>
      </c>
      <c r="AI86">
        <v>0</v>
      </c>
      <c r="AK86">
        <v>0</v>
      </c>
      <c r="AL86">
        <v>0</v>
      </c>
      <c r="AM86">
        <v>0</v>
      </c>
      <c r="AN86">
        <v>0</v>
      </c>
      <c r="AO86">
        <v>0</v>
      </c>
      <c r="AP86">
        <v>0</v>
      </c>
      <c r="AQ86" s="5">
        <v>728062</v>
      </c>
      <c r="AR86">
        <v>0</v>
      </c>
      <c r="AS86">
        <v>0</v>
      </c>
      <c r="AT86">
        <v>1</v>
      </c>
    </row>
    <row r="87" spans="1:46" x14ac:dyDescent="0.35">
      <c r="A87">
        <v>7871</v>
      </c>
      <c r="B87" t="s">
        <v>582</v>
      </c>
      <c r="C87" t="s">
        <v>991</v>
      </c>
      <c r="D87" t="s">
        <v>829</v>
      </c>
      <c r="E87" s="5">
        <v>1855260</v>
      </c>
      <c r="F87" s="5">
        <v>1855260</v>
      </c>
      <c r="G87" s="5">
        <v>1748886</v>
      </c>
      <c r="H87">
        <v>0</v>
      </c>
      <c r="I87">
        <v>0</v>
      </c>
      <c r="K87" s="5">
        <v>31857</v>
      </c>
      <c r="L87" s="5">
        <v>23118</v>
      </c>
      <c r="M87" s="5">
        <v>8740</v>
      </c>
      <c r="N87">
        <v>0</v>
      </c>
      <c r="O87">
        <v>0</v>
      </c>
      <c r="P87">
        <v>0</v>
      </c>
      <c r="Q87">
        <v>0</v>
      </c>
      <c r="R87">
        <v>0</v>
      </c>
      <c r="S87">
        <v>17356</v>
      </c>
      <c r="T87">
        <v>8266</v>
      </c>
      <c r="U87">
        <v>2318746</v>
      </c>
      <c r="V87">
        <v>175277</v>
      </c>
      <c r="W87">
        <v>29031</v>
      </c>
      <c r="X87" s="5">
        <v>1836708</v>
      </c>
      <c r="Y87">
        <v>0</v>
      </c>
      <c r="AA87">
        <v>0</v>
      </c>
      <c r="AC87" s="5">
        <v>44660</v>
      </c>
      <c r="AD87" s="5">
        <v>23118</v>
      </c>
      <c r="AE87" s="5">
        <v>8740</v>
      </c>
      <c r="AF87" s="5">
        <v>12803</v>
      </c>
      <c r="AG87">
        <v>0</v>
      </c>
      <c r="AH87">
        <v>0</v>
      </c>
      <c r="AI87">
        <v>0</v>
      </c>
      <c r="AK87">
        <v>0</v>
      </c>
      <c r="AL87">
        <v>0</v>
      </c>
      <c r="AM87">
        <v>0</v>
      </c>
      <c r="AN87">
        <v>0</v>
      </c>
      <c r="AO87">
        <v>0</v>
      </c>
      <c r="AP87">
        <v>0</v>
      </c>
      <c r="AQ87">
        <v>0</v>
      </c>
      <c r="AR87">
        <v>0</v>
      </c>
      <c r="AS87">
        <v>0</v>
      </c>
      <c r="AT87">
        <v>1</v>
      </c>
    </row>
    <row r="88" spans="1:46" x14ac:dyDescent="0.35">
      <c r="A88">
        <v>7901</v>
      </c>
      <c r="B88" t="s">
        <v>735</v>
      </c>
      <c r="C88" t="s">
        <v>992</v>
      </c>
      <c r="D88" t="s">
        <v>829</v>
      </c>
      <c r="E88" s="5">
        <v>786273</v>
      </c>
      <c r="F88" s="5">
        <v>786273</v>
      </c>
      <c r="G88" s="5">
        <v>1122167</v>
      </c>
      <c r="H88">
        <v>0</v>
      </c>
      <c r="I88">
        <v>0</v>
      </c>
      <c r="K88">
        <v>0</v>
      </c>
      <c r="L88">
        <v>0</v>
      </c>
      <c r="M88">
        <v>0</v>
      </c>
      <c r="N88">
        <v>0</v>
      </c>
      <c r="O88">
        <v>0</v>
      </c>
      <c r="P88">
        <v>0</v>
      </c>
      <c r="Q88">
        <v>0</v>
      </c>
      <c r="R88">
        <v>0</v>
      </c>
      <c r="S88">
        <v>2408</v>
      </c>
      <c r="T88">
        <v>2923</v>
      </c>
      <c r="U88">
        <v>1617794</v>
      </c>
      <c r="V88">
        <v>100907</v>
      </c>
      <c r="W88">
        <v>7860</v>
      </c>
      <c r="X88" s="5">
        <v>852356</v>
      </c>
      <c r="Y88" s="5">
        <v>25000</v>
      </c>
      <c r="AA88">
        <v>0</v>
      </c>
      <c r="AC88" s="5">
        <v>79000</v>
      </c>
      <c r="AD88">
        <v>0</v>
      </c>
      <c r="AE88" s="5">
        <v>71500</v>
      </c>
      <c r="AF88" s="5">
        <v>7500</v>
      </c>
      <c r="AG88">
        <v>0</v>
      </c>
      <c r="AH88">
        <v>0</v>
      </c>
      <c r="AI88">
        <v>0</v>
      </c>
      <c r="AK88">
        <v>0</v>
      </c>
      <c r="AL88">
        <v>0</v>
      </c>
      <c r="AM88">
        <v>0</v>
      </c>
      <c r="AN88">
        <v>0</v>
      </c>
      <c r="AO88">
        <v>0</v>
      </c>
      <c r="AP88">
        <v>0</v>
      </c>
      <c r="AQ88">
        <v>0</v>
      </c>
      <c r="AR88">
        <v>0</v>
      </c>
      <c r="AS88">
        <v>0</v>
      </c>
      <c r="AT88">
        <v>1</v>
      </c>
    </row>
    <row r="89" spans="1:46" x14ac:dyDescent="0.35">
      <c r="A89">
        <v>8211</v>
      </c>
      <c r="B89" t="s">
        <v>584</v>
      </c>
      <c r="C89" t="s">
        <v>993</v>
      </c>
      <c r="D89" t="s">
        <v>829</v>
      </c>
      <c r="E89" s="5">
        <v>15021496</v>
      </c>
      <c r="F89" s="5">
        <v>16216962</v>
      </c>
      <c r="G89" s="5">
        <v>5482423</v>
      </c>
      <c r="H89">
        <v>0</v>
      </c>
      <c r="I89">
        <v>0</v>
      </c>
      <c r="K89">
        <v>0</v>
      </c>
      <c r="L89">
        <v>0</v>
      </c>
      <c r="M89">
        <v>0</v>
      </c>
      <c r="N89">
        <v>0</v>
      </c>
      <c r="O89">
        <v>0</v>
      </c>
      <c r="P89">
        <v>0</v>
      </c>
      <c r="Q89">
        <v>0</v>
      </c>
      <c r="R89">
        <v>0</v>
      </c>
      <c r="S89">
        <v>3995</v>
      </c>
      <c r="T89">
        <v>9798</v>
      </c>
      <c r="U89">
        <v>17729604</v>
      </c>
      <c r="V89">
        <v>1705164</v>
      </c>
      <c r="W89">
        <v>218206</v>
      </c>
      <c r="X89" s="5">
        <v>7198089</v>
      </c>
      <c r="Y89" s="5">
        <v>5329385</v>
      </c>
      <c r="AA89" s="5">
        <v>3166982</v>
      </c>
      <c r="AC89" s="5">
        <v>234435</v>
      </c>
      <c r="AD89" s="5">
        <v>212892</v>
      </c>
      <c r="AE89">
        <v>0</v>
      </c>
      <c r="AF89" s="5">
        <v>21543</v>
      </c>
      <c r="AG89">
        <v>0</v>
      </c>
      <c r="AH89">
        <v>0</v>
      </c>
      <c r="AI89" s="5">
        <v>6089660</v>
      </c>
      <c r="AK89" s="5">
        <v>4802443</v>
      </c>
      <c r="AL89">
        <v>0</v>
      </c>
      <c r="AM89">
        <v>0</v>
      </c>
      <c r="AN89">
        <v>0</v>
      </c>
      <c r="AO89" s="5">
        <v>4802443</v>
      </c>
      <c r="AQ89" s="5">
        <v>4308088</v>
      </c>
      <c r="AT89">
        <v>1</v>
      </c>
    </row>
    <row r="90" spans="1:46" x14ac:dyDescent="0.35">
      <c r="A90">
        <v>8301</v>
      </c>
      <c r="B90" t="s">
        <v>736</v>
      </c>
      <c r="C90" t="s">
        <v>1149</v>
      </c>
      <c r="D90" t="s">
        <v>829</v>
      </c>
      <c r="E90" s="5">
        <v>934080</v>
      </c>
      <c r="F90" s="5">
        <v>934080</v>
      </c>
      <c r="G90" s="5">
        <v>460021</v>
      </c>
      <c r="H90">
        <v>0</v>
      </c>
      <c r="I90">
        <v>0</v>
      </c>
      <c r="K90">
        <v>0</v>
      </c>
      <c r="L90" t="s">
        <v>4</v>
      </c>
      <c r="M90" t="s">
        <v>4</v>
      </c>
      <c r="N90" t="s">
        <v>4</v>
      </c>
      <c r="O90" t="s">
        <v>4</v>
      </c>
      <c r="Q90">
        <v>0</v>
      </c>
      <c r="R90">
        <v>0</v>
      </c>
      <c r="S90">
        <v>840</v>
      </c>
      <c r="T90">
        <v>3377</v>
      </c>
      <c r="U90">
        <v>1031045</v>
      </c>
      <c r="V90">
        <v>96306</v>
      </c>
      <c r="W90">
        <v>14078</v>
      </c>
      <c r="X90" s="5">
        <v>841252</v>
      </c>
      <c r="Y90">
        <v>0</v>
      </c>
      <c r="AA90">
        <v>0</v>
      </c>
      <c r="AC90" s="5">
        <v>57910</v>
      </c>
      <c r="AD90" s="5">
        <v>57910</v>
      </c>
      <c r="AE90">
        <v>0</v>
      </c>
      <c r="AF90">
        <v>0</v>
      </c>
      <c r="AG90">
        <v>0</v>
      </c>
      <c r="AH90">
        <v>0</v>
      </c>
      <c r="AI90">
        <v>0</v>
      </c>
      <c r="AK90">
        <v>0</v>
      </c>
      <c r="AL90">
        <v>0</v>
      </c>
      <c r="AM90">
        <v>0</v>
      </c>
      <c r="AN90">
        <v>0</v>
      </c>
      <c r="AO90">
        <v>0</v>
      </c>
      <c r="AP90">
        <v>0</v>
      </c>
      <c r="AQ90">
        <v>0</v>
      </c>
      <c r="AR90">
        <v>0</v>
      </c>
      <c r="AS90">
        <v>0</v>
      </c>
      <c r="AT90">
        <v>1</v>
      </c>
    </row>
    <row r="91" spans="1:46" x14ac:dyDescent="0.35">
      <c r="A91">
        <v>8305</v>
      </c>
      <c r="B91" t="s">
        <v>737</v>
      </c>
      <c r="C91" t="s">
        <v>1150</v>
      </c>
      <c r="D91" t="s">
        <v>829</v>
      </c>
      <c r="E91" s="5">
        <v>184062</v>
      </c>
      <c r="F91" s="5">
        <v>184062</v>
      </c>
      <c r="G91" s="5">
        <v>188053</v>
      </c>
      <c r="H91">
        <v>0</v>
      </c>
      <c r="I91">
        <v>0</v>
      </c>
      <c r="J91">
        <v>0</v>
      </c>
      <c r="Q91">
        <v>0</v>
      </c>
      <c r="R91">
        <v>0</v>
      </c>
      <c r="S91">
        <v>182</v>
      </c>
      <c r="T91">
        <v>368</v>
      </c>
      <c r="U91">
        <v>182925</v>
      </c>
      <c r="V91">
        <v>22008</v>
      </c>
      <c r="W91">
        <v>2204</v>
      </c>
      <c r="X91" s="5">
        <v>246974</v>
      </c>
      <c r="Z91">
        <v>0</v>
      </c>
      <c r="AB91">
        <v>0</v>
      </c>
      <c r="AI91">
        <v>0</v>
      </c>
      <c r="AJ91">
        <v>0</v>
      </c>
      <c r="AM91">
        <v>0</v>
      </c>
      <c r="AT91">
        <v>1</v>
      </c>
    </row>
    <row r="92" spans="1:46" x14ac:dyDescent="0.35">
      <c r="A92">
        <v>8411</v>
      </c>
      <c r="B92" t="s">
        <v>738</v>
      </c>
      <c r="C92" t="s">
        <v>1151</v>
      </c>
      <c r="D92" t="s">
        <v>829</v>
      </c>
      <c r="K92">
        <v>0</v>
      </c>
      <c r="U92">
        <v>0</v>
      </c>
      <c r="V92">
        <v>0</v>
      </c>
      <c r="W92">
        <v>0</v>
      </c>
      <c r="Y92">
        <v>0</v>
      </c>
      <c r="AA92">
        <v>0</v>
      </c>
      <c r="AC92">
        <v>0</v>
      </c>
      <c r="AK92">
        <v>0</v>
      </c>
      <c r="AT92">
        <v>1</v>
      </c>
    </row>
    <row r="93" spans="1:46" x14ac:dyDescent="0.35">
      <c r="A93">
        <v>8501</v>
      </c>
      <c r="B93" t="s">
        <v>739</v>
      </c>
      <c r="C93" t="s">
        <v>1005</v>
      </c>
      <c r="D93" t="s">
        <v>829</v>
      </c>
      <c r="E93" s="5">
        <v>3234000</v>
      </c>
      <c r="F93" s="5">
        <v>2874711</v>
      </c>
      <c r="G93" s="5">
        <v>5042973</v>
      </c>
      <c r="H93">
        <v>0</v>
      </c>
      <c r="I93">
        <v>0</v>
      </c>
      <c r="K93">
        <v>0</v>
      </c>
      <c r="L93">
        <v>0</v>
      </c>
      <c r="M93">
        <v>0</v>
      </c>
      <c r="N93">
        <v>0</v>
      </c>
      <c r="O93">
        <v>0</v>
      </c>
      <c r="P93">
        <v>0</v>
      </c>
      <c r="Q93">
        <v>0</v>
      </c>
      <c r="R93">
        <v>0</v>
      </c>
      <c r="S93">
        <v>6304</v>
      </c>
      <c r="T93">
        <v>10054</v>
      </c>
      <c r="U93">
        <v>5718989</v>
      </c>
      <c r="V93">
        <v>407597</v>
      </c>
      <c r="W93">
        <v>38512</v>
      </c>
      <c r="X93" s="5">
        <v>2849010</v>
      </c>
      <c r="Y93" s="5">
        <v>629739</v>
      </c>
      <c r="AA93" s="5">
        <v>52236</v>
      </c>
      <c r="AC93" s="5">
        <v>151100</v>
      </c>
      <c r="AD93">
        <v>0</v>
      </c>
      <c r="AE93">
        <v>0</v>
      </c>
      <c r="AF93" s="5">
        <v>151100</v>
      </c>
      <c r="AG93">
        <v>0</v>
      </c>
      <c r="AH93">
        <v>0</v>
      </c>
      <c r="AI93" s="5">
        <v>816389</v>
      </c>
      <c r="AK93">
        <v>0</v>
      </c>
      <c r="AL93">
        <v>0</v>
      </c>
      <c r="AM93" s="5">
        <v>295823</v>
      </c>
      <c r="AN93">
        <v>0</v>
      </c>
      <c r="AO93">
        <v>0</v>
      </c>
      <c r="AP93">
        <v>0</v>
      </c>
      <c r="AQ93" s="5">
        <v>260866</v>
      </c>
      <c r="AR93">
        <v>0</v>
      </c>
      <c r="AS93">
        <v>0</v>
      </c>
      <c r="AT93">
        <v>1</v>
      </c>
    </row>
    <row r="94" spans="1:46" x14ac:dyDescent="0.35">
      <c r="A94">
        <v>8541</v>
      </c>
      <c r="B94" t="s">
        <v>740</v>
      </c>
      <c r="C94" t="s">
        <v>1152</v>
      </c>
      <c r="D94" t="s">
        <v>829</v>
      </c>
      <c r="E94" s="5">
        <v>1775238</v>
      </c>
      <c r="F94" s="5">
        <v>1665219</v>
      </c>
      <c r="G94" s="5">
        <v>744370</v>
      </c>
      <c r="H94">
        <v>0</v>
      </c>
      <c r="I94">
        <v>0</v>
      </c>
      <c r="K94">
        <v>0</v>
      </c>
      <c r="L94">
        <v>0</v>
      </c>
      <c r="M94">
        <v>0</v>
      </c>
      <c r="N94">
        <v>0</v>
      </c>
      <c r="O94">
        <v>0</v>
      </c>
      <c r="P94">
        <v>0</v>
      </c>
      <c r="Q94">
        <v>0</v>
      </c>
      <c r="R94">
        <v>0</v>
      </c>
      <c r="S94">
        <v>4656</v>
      </c>
      <c r="T94">
        <v>9095</v>
      </c>
      <c r="U94">
        <v>2720700</v>
      </c>
      <c r="V94">
        <v>207016</v>
      </c>
      <c r="W94">
        <v>12773</v>
      </c>
      <c r="X94" s="5">
        <v>1916303</v>
      </c>
      <c r="Y94">
        <v>0</v>
      </c>
      <c r="AA94">
        <v>0</v>
      </c>
      <c r="AC94" s="5">
        <v>71080</v>
      </c>
      <c r="AD94" s="5">
        <v>61840</v>
      </c>
      <c r="AE94" s="5">
        <v>9240</v>
      </c>
      <c r="AF94">
        <v>0</v>
      </c>
      <c r="AG94">
        <v>0</v>
      </c>
      <c r="AH94">
        <v>0</v>
      </c>
      <c r="AI94">
        <v>0</v>
      </c>
      <c r="AK94">
        <v>0</v>
      </c>
      <c r="AL94">
        <v>0</v>
      </c>
      <c r="AM94">
        <v>0</v>
      </c>
      <c r="AO94">
        <v>0</v>
      </c>
      <c r="AP94">
        <v>0</v>
      </c>
      <c r="AQ94">
        <v>0</v>
      </c>
      <c r="AR94">
        <v>0</v>
      </c>
      <c r="AS94">
        <v>0</v>
      </c>
      <c r="AT94">
        <v>1</v>
      </c>
    </row>
    <row r="95" spans="1:46" x14ac:dyDescent="0.35">
      <c r="A95">
        <v>8601</v>
      </c>
      <c r="B95" t="s">
        <v>741</v>
      </c>
      <c r="C95" t="s">
        <v>1008</v>
      </c>
      <c r="D95" t="s">
        <v>829</v>
      </c>
      <c r="E95" s="5">
        <v>3913330</v>
      </c>
      <c r="F95" s="5">
        <v>3913330</v>
      </c>
      <c r="G95" s="5">
        <v>1925521</v>
      </c>
      <c r="H95">
        <v>0</v>
      </c>
      <c r="I95">
        <v>0</v>
      </c>
      <c r="K95">
        <v>0</v>
      </c>
      <c r="L95">
        <v>0</v>
      </c>
      <c r="M95">
        <v>0</v>
      </c>
      <c r="N95">
        <v>0</v>
      </c>
      <c r="O95">
        <v>0</v>
      </c>
      <c r="P95">
        <v>0</v>
      </c>
      <c r="Q95">
        <v>0</v>
      </c>
      <c r="R95">
        <v>0</v>
      </c>
      <c r="S95">
        <v>929</v>
      </c>
      <c r="T95">
        <v>15406</v>
      </c>
      <c r="U95">
        <v>5201479</v>
      </c>
      <c r="V95">
        <v>412927</v>
      </c>
      <c r="W95">
        <v>27371</v>
      </c>
      <c r="X95" s="5">
        <v>4727766</v>
      </c>
      <c r="Y95">
        <v>0</v>
      </c>
      <c r="AA95" s="5">
        <v>1185301</v>
      </c>
      <c r="AC95">
        <v>0</v>
      </c>
      <c r="AD95">
        <v>0</v>
      </c>
      <c r="AE95">
        <v>0</v>
      </c>
      <c r="AF95">
        <v>0</v>
      </c>
      <c r="AG95">
        <v>0</v>
      </c>
      <c r="AH95">
        <v>0</v>
      </c>
      <c r="AI95" s="5">
        <v>1384866</v>
      </c>
      <c r="AK95">
        <v>0</v>
      </c>
      <c r="AL95">
        <v>0</v>
      </c>
      <c r="AM95">
        <v>0</v>
      </c>
      <c r="AN95">
        <v>0</v>
      </c>
      <c r="AO95">
        <v>0</v>
      </c>
      <c r="AP95">
        <v>0</v>
      </c>
      <c r="AQ95" s="5">
        <v>354883</v>
      </c>
      <c r="AR95">
        <v>0</v>
      </c>
      <c r="AS95">
        <v>0</v>
      </c>
      <c r="AT95">
        <v>1</v>
      </c>
    </row>
    <row r="96" spans="1:46" x14ac:dyDescent="0.35">
      <c r="A96">
        <v>8660</v>
      </c>
      <c r="B96" t="s">
        <v>602</v>
      </c>
      <c r="C96" t="s">
        <v>1011</v>
      </c>
      <c r="D96" t="s">
        <v>829</v>
      </c>
      <c r="E96" s="5">
        <v>2623692</v>
      </c>
      <c r="F96" s="5">
        <v>2591212</v>
      </c>
      <c r="G96" s="5">
        <v>1484690</v>
      </c>
      <c r="H96">
        <v>0</v>
      </c>
      <c r="I96">
        <v>0</v>
      </c>
      <c r="K96">
        <v>0</v>
      </c>
      <c r="S96">
        <v>4434</v>
      </c>
      <c r="T96">
        <v>10010</v>
      </c>
      <c r="U96">
        <v>4263741</v>
      </c>
      <c r="V96">
        <v>292822</v>
      </c>
      <c r="W96">
        <v>23238</v>
      </c>
      <c r="X96" s="5">
        <v>2965722</v>
      </c>
      <c r="Y96">
        <v>0</v>
      </c>
      <c r="AA96">
        <v>0</v>
      </c>
      <c r="AC96">
        <v>0</v>
      </c>
      <c r="AK96">
        <v>0</v>
      </c>
      <c r="AM96" s="5">
        <v>95331</v>
      </c>
      <c r="AT96">
        <v>1</v>
      </c>
    </row>
    <row r="97" spans="1:46" x14ac:dyDescent="0.35">
      <c r="A97">
        <v>8701</v>
      </c>
      <c r="B97" t="s">
        <v>604</v>
      </c>
      <c r="C97" t="s">
        <v>1013</v>
      </c>
      <c r="D97" t="s">
        <v>829</v>
      </c>
      <c r="E97" s="5">
        <v>5156688</v>
      </c>
      <c r="F97" s="5">
        <v>5156688</v>
      </c>
      <c r="G97" s="5">
        <v>1538512</v>
      </c>
      <c r="H97">
        <v>0</v>
      </c>
      <c r="I97">
        <v>0</v>
      </c>
      <c r="K97">
        <v>0</v>
      </c>
      <c r="L97">
        <v>0</v>
      </c>
      <c r="M97">
        <v>0</v>
      </c>
      <c r="N97">
        <v>0</v>
      </c>
      <c r="O97">
        <v>0</v>
      </c>
      <c r="P97">
        <v>0</v>
      </c>
      <c r="Q97">
        <v>0</v>
      </c>
      <c r="R97">
        <v>0</v>
      </c>
      <c r="S97">
        <v>9460</v>
      </c>
      <c r="T97">
        <v>17533</v>
      </c>
      <c r="U97">
        <v>7492428</v>
      </c>
      <c r="V97">
        <v>532960</v>
      </c>
      <c r="W97">
        <v>67761</v>
      </c>
      <c r="X97" s="5">
        <v>4068847</v>
      </c>
      <c r="Y97">
        <v>0</v>
      </c>
      <c r="AA97" s="5">
        <v>3117986</v>
      </c>
      <c r="AC97" s="5">
        <v>1298</v>
      </c>
      <c r="AD97">
        <v>0</v>
      </c>
      <c r="AE97" s="5">
        <v>1298</v>
      </c>
      <c r="AF97">
        <v>0</v>
      </c>
      <c r="AG97">
        <v>0</v>
      </c>
      <c r="AH97">
        <v>0</v>
      </c>
      <c r="AI97" s="5">
        <v>3244666</v>
      </c>
      <c r="AK97" s="5">
        <v>708570</v>
      </c>
      <c r="AL97">
        <v>0</v>
      </c>
      <c r="AM97" s="5">
        <v>457452</v>
      </c>
      <c r="AN97">
        <v>0</v>
      </c>
      <c r="AO97" s="5">
        <v>708570</v>
      </c>
      <c r="AP97">
        <v>0</v>
      </c>
      <c r="AQ97" s="5">
        <v>1468135</v>
      </c>
      <c r="AR97">
        <v>0</v>
      </c>
      <c r="AS97">
        <v>0</v>
      </c>
      <c r="AT97">
        <v>1</v>
      </c>
    </row>
    <row r="98" spans="1:46" x14ac:dyDescent="0.35">
      <c r="A98">
        <v>8721</v>
      </c>
      <c r="B98" t="s">
        <v>742</v>
      </c>
      <c r="C98" t="s">
        <v>1014</v>
      </c>
      <c r="D98" t="s">
        <v>829</v>
      </c>
      <c r="E98" s="5">
        <v>1821289</v>
      </c>
      <c r="F98" s="5">
        <v>1821289</v>
      </c>
      <c r="G98" s="5">
        <v>2106675</v>
      </c>
      <c r="H98">
        <v>0</v>
      </c>
      <c r="I98">
        <v>0</v>
      </c>
      <c r="K98">
        <v>145</v>
      </c>
      <c r="L98">
        <v>0</v>
      </c>
      <c r="M98">
        <v>0</v>
      </c>
      <c r="N98">
        <v>0</v>
      </c>
      <c r="O98">
        <v>0</v>
      </c>
      <c r="P98">
        <v>145</v>
      </c>
      <c r="Q98">
        <v>0</v>
      </c>
      <c r="R98">
        <v>0</v>
      </c>
      <c r="S98">
        <v>3199</v>
      </c>
      <c r="T98">
        <v>9379</v>
      </c>
      <c r="U98">
        <v>2551851</v>
      </c>
      <c r="V98">
        <v>198412</v>
      </c>
      <c r="W98">
        <v>24489</v>
      </c>
      <c r="X98" s="5">
        <v>2522390</v>
      </c>
      <c r="Y98">
        <v>0</v>
      </c>
      <c r="AA98" s="5">
        <v>99340</v>
      </c>
      <c r="AC98">
        <v>0</v>
      </c>
      <c r="AD98">
        <v>0</v>
      </c>
      <c r="AE98">
        <v>0</v>
      </c>
      <c r="AF98">
        <v>0</v>
      </c>
      <c r="AG98">
        <v>0</v>
      </c>
      <c r="AH98">
        <v>0</v>
      </c>
      <c r="AI98">
        <v>0</v>
      </c>
      <c r="AK98">
        <v>0</v>
      </c>
      <c r="AL98">
        <v>0</v>
      </c>
      <c r="AM98">
        <v>0</v>
      </c>
      <c r="AN98">
        <v>0</v>
      </c>
      <c r="AO98">
        <v>0</v>
      </c>
      <c r="AP98">
        <v>0</v>
      </c>
      <c r="AQ98">
        <v>0</v>
      </c>
      <c r="AR98">
        <v>0</v>
      </c>
      <c r="AS98">
        <v>0</v>
      </c>
      <c r="AT98">
        <v>1</v>
      </c>
    </row>
    <row r="99" spans="1:46" x14ac:dyDescent="0.35">
      <c r="A99">
        <v>8801</v>
      </c>
      <c r="B99" t="s">
        <v>743</v>
      </c>
      <c r="C99" t="s">
        <v>1016</v>
      </c>
      <c r="D99" t="s">
        <v>829</v>
      </c>
      <c r="E99" s="5">
        <v>3731868</v>
      </c>
      <c r="F99" s="5">
        <v>3731868</v>
      </c>
      <c r="G99" s="5">
        <v>5422850</v>
      </c>
      <c r="H99">
        <v>0</v>
      </c>
      <c r="I99">
        <v>0</v>
      </c>
      <c r="K99">
        <v>0</v>
      </c>
      <c r="L99">
        <v>0</v>
      </c>
      <c r="M99">
        <v>0</v>
      </c>
      <c r="N99">
        <v>0</v>
      </c>
      <c r="O99">
        <v>0</v>
      </c>
      <c r="P99">
        <v>0</v>
      </c>
      <c r="Q99">
        <v>0</v>
      </c>
      <c r="R99">
        <v>0</v>
      </c>
      <c r="S99">
        <v>4895</v>
      </c>
      <c r="T99">
        <v>11384</v>
      </c>
      <c r="U99">
        <v>4618220</v>
      </c>
      <c r="V99">
        <v>441664</v>
      </c>
      <c r="W99">
        <v>54086</v>
      </c>
      <c r="X99" s="5">
        <v>2283147</v>
      </c>
      <c r="Y99" s="5">
        <v>941851</v>
      </c>
      <c r="AA99" s="5">
        <v>599295</v>
      </c>
      <c r="AC99">
        <v>0</v>
      </c>
      <c r="AD99">
        <v>0</v>
      </c>
      <c r="AE99">
        <v>0</v>
      </c>
      <c r="AF99">
        <v>0</v>
      </c>
      <c r="AG99">
        <v>0</v>
      </c>
      <c r="AH99">
        <v>0</v>
      </c>
      <c r="AI99">
        <v>0</v>
      </c>
      <c r="AK99">
        <v>0</v>
      </c>
      <c r="AL99">
        <v>0</v>
      </c>
      <c r="AM99">
        <v>0</v>
      </c>
      <c r="AN99">
        <v>0</v>
      </c>
      <c r="AO99">
        <v>0</v>
      </c>
      <c r="AP99">
        <v>0</v>
      </c>
      <c r="AQ99" s="5">
        <v>710128</v>
      </c>
      <c r="AR99">
        <v>0</v>
      </c>
      <c r="AS99" s="81">
        <v>19365180</v>
      </c>
      <c r="AT99">
        <v>1</v>
      </c>
    </row>
    <row r="100" spans="1:46" x14ac:dyDescent="0.35">
      <c r="A100">
        <v>8901</v>
      </c>
      <c r="B100" t="s">
        <v>744</v>
      </c>
      <c r="C100" t="s">
        <v>1018</v>
      </c>
      <c r="D100" t="s">
        <v>829</v>
      </c>
      <c r="E100" s="5">
        <v>3984471</v>
      </c>
      <c r="F100" s="5">
        <v>4382717</v>
      </c>
      <c r="G100" s="5">
        <v>2544182</v>
      </c>
      <c r="H100" s="5">
        <v>7176</v>
      </c>
      <c r="I100" s="5">
        <v>19202</v>
      </c>
      <c r="K100" s="5">
        <v>65295</v>
      </c>
      <c r="L100" s="5">
        <v>45537</v>
      </c>
      <c r="M100">
        <v>0</v>
      </c>
      <c r="N100" s="5">
        <v>19758</v>
      </c>
      <c r="O100">
        <v>0</v>
      </c>
      <c r="P100">
        <v>0</v>
      </c>
      <c r="Q100">
        <v>0</v>
      </c>
      <c r="R100">
        <v>0</v>
      </c>
      <c r="S100">
        <v>10924</v>
      </c>
      <c r="T100">
        <v>14385</v>
      </c>
      <c r="U100">
        <v>5325091</v>
      </c>
      <c r="V100">
        <v>431896</v>
      </c>
      <c r="W100">
        <v>81732</v>
      </c>
      <c r="X100" s="5">
        <v>4006075</v>
      </c>
      <c r="Y100" s="5">
        <v>37638</v>
      </c>
      <c r="AA100" s="5">
        <v>4103402</v>
      </c>
      <c r="AC100" s="5">
        <v>10230</v>
      </c>
      <c r="AD100">
        <v>0</v>
      </c>
      <c r="AE100" s="5">
        <v>10230</v>
      </c>
      <c r="AF100">
        <v>0</v>
      </c>
      <c r="AG100">
        <v>0</v>
      </c>
      <c r="AH100">
        <v>0</v>
      </c>
      <c r="AI100" s="5">
        <v>2262500</v>
      </c>
      <c r="AK100">
        <v>0</v>
      </c>
      <c r="AL100">
        <v>0</v>
      </c>
      <c r="AM100">
        <v>0</v>
      </c>
      <c r="AN100">
        <v>0</v>
      </c>
      <c r="AO100">
        <v>0</v>
      </c>
      <c r="AP100">
        <v>0</v>
      </c>
      <c r="AQ100" s="5">
        <v>1755240</v>
      </c>
      <c r="AR100">
        <v>0</v>
      </c>
      <c r="AS100">
        <v>0</v>
      </c>
      <c r="AT100">
        <v>1</v>
      </c>
    </row>
    <row r="101" spans="1:46" x14ac:dyDescent="0.35">
      <c r="A101">
        <v>9401</v>
      </c>
      <c r="B101" t="s">
        <v>745</v>
      </c>
      <c r="C101" t="s">
        <v>1153</v>
      </c>
      <c r="D101" t="s">
        <v>829</v>
      </c>
      <c r="E101" s="5">
        <v>10419077</v>
      </c>
      <c r="F101" s="5">
        <v>11312675</v>
      </c>
      <c r="G101" s="5">
        <v>3071067</v>
      </c>
      <c r="H101">
        <v>0</v>
      </c>
      <c r="I101">
        <v>0</v>
      </c>
      <c r="K101" s="5">
        <v>264248</v>
      </c>
      <c r="L101" s="5">
        <v>264248</v>
      </c>
      <c r="M101">
        <v>0</v>
      </c>
      <c r="N101">
        <v>0</v>
      </c>
      <c r="O101">
        <v>0</v>
      </c>
      <c r="P101">
        <v>0</v>
      </c>
      <c r="Q101">
        <v>0</v>
      </c>
      <c r="R101">
        <v>0</v>
      </c>
      <c r="S101">
        <v>17732</v>
      </c>
      <c r="T101">
        <v>20754</v>
      </c>
      <c r="U101">
        <v>14095563</v>
      </c>
      <c r="V101">
        <v>1014024</v>
      </c>
      <c r="W101">
        <v>171434</v>
      </c>
      <c r="X101" s="5">
        <v>6812009</v>
      </c>
      <c r="Y101" s="5">
        <v>1420829</v>
      </c>
      <c r="AA101" s="5">
        <v>2962798</v>
      </c>
      <c r="AC101" s="5">
        <v>78021</v>
      </c>
      <c r="AD101" s="5">
        <v>78021</v>
      </c>
      <c r="AE101">
        <v>0</v>
      </c>
      <c r="AF101">
        <v>0</v>
      </c>
      <c r="AG101">
        <v>0</v>
      </c>
      <c r="AH101">
        <v>0</v>
      </c>
      <c r="AI101" s="5">
        <v>6287403</v>
      </c>
      <c r="AK101" s="5">
        <v>4249717</v>
      </c>
      <c r="AL101">
        <v>0</v>
      </c>
      <c r="AM101">
        <v>0</v>
      </c>
      <c r="AN101" s="5">
        <v>443017</v>
      </c>
      <c r="AO101" s="5">
        <v>3806700</v>
      </c>
      <c r="AP101">
        <v>0</v>
      </c>
      <c r="AQ101" s="5">
        <v>3028501</v>
      </c>
      <c r="AR101">
        <v>0</v>
      </c>
      <c r="AS101">
        <v>0</v>
      </c>
      <c r="AT101">
        <v>1</v>
      </c>
    </row>
    <row r="102" spans="1:46" x14ac:dyDescent="0.35">
      <c r="A102">
        <v>9491</v>
      </c>
      <c r="B102" t="s">
        <v>627</v>
      </c>
      <c r="C102" t="s">
        <v>1035</v>
      </c>
      <c r="D102" t="s">
        <v>829</v>
      </c>
      <c r="E102" s="5">
        <v>1705057</v>
      </c>
      <c r="F102" s="5">
        <v>1731587</v>
      </c>
      <c r="G102" s="5">
        <v>1362963</v>
      </c>
      <c r="H102">
        <v>0</v>
      </c>
      <c r="I102">
        <v>0</v>
      </c>
      <c r="K102">
        <v>0</v>
      </c>
      <c r="L102">
        <v>0</v>
      </c>
      <c r="M102">
        <v>0</v>
      </c>
      <c r="N102">
        <v>0</v>
      </c>
      <c r="O102">
        <v>0</v>
      </c>
      <c r="P102">
        <v>0</v>
      </c>
      <c r="Q102">
        <v>0</v>
      </c>
      <c r="R102">
        <v>0</v>
      </c>
      <c r="S102">
        <v>2474</v>
      </c>
      <c r="T102">
        <v>85</v>
      </c>
      <c r="U102">
        <v>2766539</v>
      </c>
      <c r="V102">
        <v>191456</v>
      </c>
      <c r="W102">
        <v>26478</v>
      </c>
      <c r="X102" s="5">
        <v>2068101</v>
      </c>
      <c r="Y102">
        <v>0</v>
      </c>
      <c r="AA102">
        <v>0</v>
      </c>
      <c r="AC102">
        <v>0</v>
      </c>
      <c r="AD102">
        <v>0</v>
      </c>
      <c r="AE102">
        <v>0</v>
      </c>
      <c r="AF102">
        <v>0</v>
      </c>
      <c r="AG102">
        <v>0</v>
      </c>
      <c r="AH102">
        <v>0</v>
      </c>
      <c r="AI102">
        <v>0</v>
      </c>
      <c r="AK102">
        <v>0</v>
      </c>
      <c r="AL102">
        <v>0</v>
      </c>
      <c r="AM102">
        <v>0</v>
      </c>
      <c r="AN102">
        <v>0</v>
      </c>
      <c r="AO102">
        <v>0</v>
      </c>
      <c r="AP102">
        <v>0</v>
      </c>
      <c r="AQ102">
        <v>0</v>
      </c>
      <c r="AR102">
        <v>0</v>
      </c>
      <c r="AS102">
        <v>0</v>
      </c>
      <c r="AT102">
        <v>1</v>
      </c>
    </row>
    <row r="103" spans="1:46" x14ac:dyDescent="0.35">
      <c r="A103">
        <v>9511</v>
      </c>
      <c r="B103" t="s">
        <v>746</v>
      </c>
      <c r="C103" t="s">
        <v>1037</v>
      </c>
      <c r="D103" t="s">
        <v>829</v>
      </c>
      <c r="E103" s="5">
        <v>2127822</v>
      </c>
      <c r="F103" s="5">
        <v>2114142</v>
      </c>
      <c r="G103" s="5">
        <v>2527366</v>
      </c>
      <c r="H103">
        <v>0</v>
      </c>
      <c r="I103">
        <v>0</v>
      </c>
      <c r="K103" s="5">
        <v>74800</v>
      </c>
      <c r="L103">
        <v>0</v>
      </c>
      <c r="M103" s="5">
        <v>74800</v>
      </c>
      <c r="N103">
        <v>0</v>
      </c>
      <c r="O103">
        <v>0</v>
      </c>
      <c r="P103">
        <v>0</v>
      </c>
      <c r="Q103">
        <v>0</v>
      </c>
      <c r="R103">
        <v>0</v>
      </c>
      <c r="S103">
        <v>6312</v>
      </c>
      <c r="T103">
        <v>7112</v>
      </c>
      <c r="U103">
        <v>3200404</v>
      </c>
      <c r="V103">
        <v>233780</v>
      </c>
      <c r="W103">
        <v>14818</v>
      </c>
      <c r="X103" s="5">
        <v>1465034</v>
      </c>
      <c r="Y103" s="5">
        <v>135884</v>
      </c>
      <c r="AA103" s="5">
        <v>1690927</v>
      </c>
      <c r="AC103">
        <v>220</v>
      </c>
      <c r="AD103">
        <v>0</v>
      </c>
      <c r="AE103">
        <v>220</v>
      </c>
      <c r="AF103">
        <v>0</v>
      </c>
      <c r="AG103">
        <v>0</v>
      </c>
      <c r="AH103">
        <v>0</v>
      </c>
      <c r="AI103" s="5">
        <v>1935000</v>
      </c>
      <c r="AK103" s="5">
        <v>1566000</v>
      </c>
      <c r="AL103">
        <v>0</v>
      </c>
      <c r="AM103">
        <v>0</v>
      </c>
      <c r="AN103">
        <v>0</v>
      </c>
      <c r="AO103" s="5">
        <v>1566000</v>
      </c>
      <c r="AP103">
        <v>0</v>
      </c>
      <c r="AQ103" s="5">
        <v>1199182</v>
      </c>
      <c r="AT103">
        <v>1</v>
      </c>
    </row>
    <row r="104" spans="1:46" x14ac:dyDescent="0.35">
      <c r="A104">
        <v>9611</v>
      </c>
      <c r="B104" t="s">
        <v>747</v>
      </c>
      <c r="C104" t="s">
        <v>1154</v>
      </c>
      <c r="D104" t="s">
        <v>829</v>
      </c>
      <c r="E104" s="5">
        <v>1098779</v>
      </c>
      <c r="F104" s="5">
        <v>305420</v>
      </c>
      <c r="G104" s="5">
        <v>656911</v>
      </c>
      <c r="K104">
        <v>0</v>
      </c>
      <c r="S104">
        <v>1098</v>
      </c>
      <c r="T104">
        <v>6228</v>
      </c>
      <c r="U104">
        <v>414690</v>
      </c>
      <c r="V104">
        <v>30524</v>
      </c>
      <c r="W104">
        <v>3937</v>
      </c>
      <c r="X104" s="5">
        <v>590171</v>
      </c>
      <c r="Y104">
        <v>0</v>
      </c>
      <c r="AA104">
        <v>0</v>
      </c>
      <c r="AC104">
        <v>0</v>
      </c>
      <c r="AK104">
        <v>0</v>
      </c>
      <c r="AT104">
        <v>1</v>
      </c>
    </row>
    <row r="105" spans="1:46" x14ac:dyDescent="0.35">
      <c r="A105">
        <v>9641</v>
      </c>
      <c r="B105" t="s">
        <v>638</v>
      </c>
      <c r="C105" t="s">
        <v>1046</v>
      </c>
      <c r="D105" t="s">
        <v>829</v>
      </c>
      <c r="E105" s="5">
        <v>2052005</v>
      </c>
      <c r="F105" s="5">
        <v>2067828</v>
      </c>
      <c r="G105" s="5">
        <v>882506</v>
      </c>
      <c r="H105">
        <v>0</v>
      </c>
      <c r="I105">
        <v>0</v>
      </c>
      <c r="K105">
        <v>0</v>
      </c>
      <c r="L105">
        <v>0</v>
      </c>
      <c r="M105">
        <v>0</v>
      </c>
      <c r="N105">
        <v>0</v>
      </c>
      <c r="O105">
        <v>0</v>
      </c>
      <c r="P105">
        <v>0</v>
      </c>
      <c r="Q105">
        <v>0</v>
      </c>
      <c r="R105">
        <v>0</v>
      </c>
      <c r="S105">
        <v>1661</v>
      </c>
      <c r="T105">
        <v>7454</v>
      </c>
      <c r="U105">
        <v>4941415</v>
      </c>
      <c r="V105">
        <v>453148</v>
      </c>
      <c r="W105">
        <v>42490</v>
      </c>
      <c r="X105" s="5">
        <v>3561292</v>
      </c>
      <c r="Y105" s="5">
        <v>4784</v>
      </c>
      <c r="AA105" s="5">
        <v>228963</v>
      </c>
      <c r="AC105">
        <v>0</v>
      </c>
      <c r="AD105">
        <v>0</v>
      </c>
      <c r="AE105">
        <v>0</v>
      </c>
      <c r="AF105">
        <v>0</v>
      </c>
      <c r="AG105">
        <v>0</v>
      </c>
      <c r="AH105">
        <v>0</v>
      </c>
      <c r="AI105" s="5">
        <v>1525000</v>
      </c>
      <c r="AK105">
        <v>0</v>
      </c>
      <c r="AL105">
        <v>0</v>
      </c>
      <c r="AM105">
        <v>0</v>
      </c>
      <c r="AN105">
        <v>0</v>
      </c>
      <c r="AO105">
        <v>0</v>
      </c>
      <c r="AP105">
        <v>0</v>
      </c>
      <c r="AQ105" s="5">
        <v>320235</v>
      </c>
      <c r="AR105">
        <v>0</v>
      </c>
      <c r="AS105">
        <v>0</v>
      </c>
      <c r="AT105">
        <v>1</v>
      </c>
    </row>
    <row r="106" spans="1:46" x14ac:dyDescent="0.35">
      <c r="A106">
        <v>9701</v>
      </c>
      <c r="B106" t="s">
        <v>748</v>
      </c>
      <c r="C106" t="s">
        <v>1155</v>
      </c>
      <c r="D106" t="s">
        <v>829</v>
      </c>
      <c r="E106" s="5">
        <v>1183603</v>
      </c>
      <c r="F106" s="5">
        <v>1183603</v>
      </c>
      <c r="G106" s="5">
        <v>650705</v>
      </c>
      <c r="H106">
        <v>0</v>
      </c>
      <c r="I106">
        <v>0</v>
      </c>
      <c r="K106">
        <v>0</v>
      </c>
      <c r="L106">
        <v>0</v>
      </c>
      <c r="M106">
        <v>0</v>
      </c>
      <c r="N106">
        <v>0</v>
      </c>
      <c r="O106">
        <v>0</v>
      </c>
      <c r="P106">
        <v>0</v>
      </c>
      <c r="Q106">
        <v>0</v>
      </c>
      <c r="R106">
        <v>0</v>
      </c>
      <c r="S106">
        <v>3625</v>
      </c>
      <c r="T106">
        <v>3655</v>
      </c>
      <c r="U106">
        <v>2141327</v>
      </c>
      <c r="V106">
        <v>112268</v>
      </c>
      <c r="W106">
        <v>17438</v>
      </c>
      <c r="X106" s="5">
        <v>1635924</v>
      </c>
      <c r="Y106" s="5">
        <v>249597</v>
      </c>
      <c r="AA106" s="5">
        <v>68240</v>
      </c>
      <c r="AC106" s="5">
        <v>104445</v>
      </c>
      <c r="AD106">
        <v>0</v>
      </c>
      <c r="AE106" s="5">
        <v>104445</v>
      </c>
      <c r="AF106">
        <v>0</v>
      </c>
      <c r="AG106">
        <v>0</v>
      </c>
      <c r="AH106">
        <v>0</v>
      </c>
      <c r="AI106" s="5">
        <v>5000</v>
      </c>
      <c r="AK106">
        <v>0</v>
      </c>
      <c r="AL106">
        <v>0</v>
      </c>
      <c r="AM106">
        <v>0</v>
      </c>
      <c r="AO106">
        <v>0</v>
      </c>
      <c r="AP106">
        <v>0</v>
      </c>
      <c r="AQ106">
        <v>0</v>
      </c>
      <c r="AR106">
        <v>0</v>
      </c>
      <c r="AS106">
        <v>0</v>
      </c>
      <c r="AT106">
        <v>1</v>
      </c>
    </row>
    <row r="107" spans="1:46" x14ac:dyDescent="0.35">
      <c r="A107">
        <v>9801</v>
      </c>
      <c r="B107" t="s">
        <v>643</v>
      </c>
      <c r="C107" t="s">
        <v>1051</v>
      </c>
      <c r="D107" t="s">
        <v>829</v>
      </c>
      <c r="E107" s="5">
        <v>2978405</v>
      </c>
      <c r="F107" s="5">
        <v>2978405</v>
      </c>
      <c r="G107" s="5">
        <v>2318310</v>
      </c>
      <c r="H107">
        <v>0</v>
      </c>
      <c r="I107">
        <v>0</v>
      </c>
      <c r="K107">
        <v>0</v>
      </c>
      <c r="L107">
        <v>0</v>
      </c>
      <c r="M107">
        <v>0</v>
      </c>
      <c r="N107">
        <v>0</v>
      </c>
      <c r="O107">
        <v>0</v>
      </c>
      <c r="P107">
        <v>0</v>
      </c>
      <c r="Q107">
        <v>0</v>
      </c>
      <c r="R107">
        <v>0</v>
      </c>
      <c r="S107">
        <v>8277</v>
      </c>
      <c r="T107">
        <v>9547</v>
      </c>
      <c r="U107">
        <v>6939526</v>
      </c>
      <c r="V107">
        <v>393081</v>
      </c>
      <c r="W107">
        <v>30276</v>
      </c>
      <c r="X107" s="5">
        <v>3409869</v>
      </c>
      <c r="Y107">
        <v>0</v>
      </c>
      <c r="AA107" s="5">
        <v>1110270</v>
      </c>
      <c r="AC107" s="5">
        <v>213875</v>
      </c>
      <c r="AD107" s="5">
        <v>37897</v>
      </c>
      <c r="AE107" s="5">
        <v>175978</v>
      </c>
      <c r="AF107">
        <v>0</v>
      </c>
      <c r="AG107">
        <v>0</v>
      </c>
      <c r="AH107">
        <v>0</v>
      </c>
      <c r="AI107" s="5">
        <v>1366100</v>
      </c>
      <c r="AK107">
        <v>0</v>
      </c>
      <c r="AL107">
        <v>0</v>
      </c>
      <c r="AM107">
        <v>0</v>
      </c>
      <c r="AN107">
        <v>0</v>
      </c>
      <c r="AO107">
        <v>0</v>
      </c>
      <c r="AP107">
        <v>0</v>
      </c>
      <c r="AQ107" s="5">
        <v>316335</v>
      </c>
      <c r="AT107">
        <v>1</v>
      </c>
    </row>
    <row r="108" spans="1:46" x14ac:dyDescent="0.35">
      <c r="A108">
        <v>9901</v>
      </c>
      <c r="B108" t="s">
        <v>749</v>
      </c>
      <c r="C108" t="s">
        <v>1156</v>
      </c>
      <c r="D108" t="s">
        <v>829</v>
      </c>
      <c r="E108" s="5">
        <v>3288717</v>
      </c>
      <c r="F108" s="5">
        <v>3288717</v>
      </c>
      <c r="G108" s="5">
        <v>1832163</v>
      </c>
      <c r="H108">
        <v>0</v>
      </c>
      <c r="I108">
        <v>0</v>
      </c>
      <c r="K108">
        <v>0</v>
      </c>
      <c r="L108">
        <v>0</v>
      </c>
      <c r="M108">
        <v>0</v>
      </c>
      <c r="N108">
        <v>0</v>
      </c>
      <c r="O108">
        <v>0</v>
      </c>
      <c r="P108">
        <v>0</v>
      </c>
      <c r="Q108">
        <v>0</v>
      </c>
      <c r="R108">
        <v>0</v>
      </c>
      <c r="S108">
        <v>9295</v>
      </c>
      <c r="T108">
        <v>3852</v>
      </c>
      <c r="U108">
        <v>7868430</v>
      </c>
      <c r="V108">
        <v>676545</v>
      </c>
      <c r="W108">
        <v>133195</v>
      </c>
      <c r="X108" s="5">
        <v>6179955</v>
      </c>
      <c r="Y108">
        <v>0</v>
      </c>
      <c r="AA108" s="5">
        <v>1897000</v>
      </c>
      <c r="AC108">
        <v>0</v>
      </c>
      <c r="AD108">
        <v>0</v>
      </c>
      <c r="AE108">
        <v>0</v>
      </c>
      <c r="AF108">
        <v>0</v>
      </c>
      <c r="AG108">
        <v>0</v>
      </c>
      <c r="AH108">
        <v>0</v>
      </c>
      <c r="AI108" s="5">
        <v>2464000</v>
      </c>
      <c r="AK108" s="5">
        <v>2121000</v>
      </c>
      <c r="AL108">
        <v>0</v>
      </c>
      <c r="AM108">
        <v>0</v>
      </c>
      <c r="AN108">
        <v>0</v>
      </c>
      <c r="AO108" s="5">
        <v>2121000</v>
      </c>
      <c r="AP108">
        <v>0</v>
      </c>
      <c r="AQ108" s="5">
        <v>1699172</v>
      </c>
      <c r="AR108">
        <v>0</v>
      </c>
      <c r="AS108">
        <v>0</v>
      </c>
      <c r="AT108">
        <v>1</v>
      </c>
    </row>
    <row r="109" spans="1:46" x14ac:dyDescent="0.35">
      <c r="A109">
        <v>9941</v>
      </c>
      <c r="B109" t="s">
        <v>648</v>
      </c>
      <c r="C109" t="s">
        <v>1056</v>
      </c>
      <c r="D109" t="s">
        <v>829</v>
      </c>
      <c r="E109" s="5">
        <v>72006</v>
      </c>
      <c r="F109" s="5">
        <v>72006</v>
      </c>
      <c r="G109" s="5">
        <v>107358</v>
      </c>
      <c r="H109">
        <v>0</v>
      </c>
      <c r="I109">
        <v>0</v>
      </c>
      <c r="J109">
        <v>0</v>
      </c>
      <c r="Q109">
        <v>0</v>
      </c>
      <c r="R109">
        <v>0</v>
      </c>
      <c r="S109">
        <v>735</v>
      </c>
      <c r="T109">
        <v>0</v>
      </c>
      <c r="U109">
        <v>118636</v>
      </c>
      <c r="V109">
        <v>12204</v>
      </c>
      <c r="W109">
        <v>5466</v>
      </c>
      <c r="X109" s="5">
        <v>69463</v>
      </c>
      <c r="Z109">
        <v>0</v>
      </c>
      <c r="AB109">
        <v>0</v>
      </c>
      <c r="AI109">
        <v>0</v>
      </c>
      <c r="AJ109">
        <v>0</v>
      </c>
      <c r="AM109">
        <v>0</v>
      </c>
      <c r="AT109">
        <v>1</v>
      </c>
    </row>
  </sheetData>
  <sheetProtection algorithmName="SHA-512" hashValue="AzfkWEjSSoHG9meJyue7yuOVg5Qmee0puXtvso/M7ZMcvmk3W7N0FrNHrEFyeImOLw+QvyIfsluKjAQQVPQN/w==" saltValue="bz8MoXskaOEmxVsJklwwCg==" spinCount="100000" sheet="1" objects="1" scenarios="1"/>
  <sortState xmlns:xlrd2="http://schemas.microsoft.com/office/spreadsheetml/2017/richdata2" columnSort="1" ref="E1:AT109">
    <sortCondition ref="E4:AT4"/>
  </sortState>
  <phoneticPr fontId="32"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anva documents" ma:contentTypeID="0x010100B831FAAC9F735941A2AC6B22BF2203EC002ABB66CCAD972B4EA2A8E4288B5AE069" ma:contentTypeVersion="20" ma:contentTypeDescription="Create a new document." ma:contentTypeScope="" ma:versionID="a952c5939fed10eaa8fbdf8d49277365">
  <xsd:schema xmlns:xsd="http://www.w3.org/2001/XMLSchema" xmlns:xs="http://www.w3.org/2001/XMLSchema" xmlns:p="http://schemas.microsoft.com/office/2006/metadata/properties" xmlns:ns2="85439af3-7d87-4228-a591-9885807d76d2" xmlns:ns3="7b905fab-6916-497b-9ff3-434de14b7d0f" targetNamespace="http://schemas.microsoft.com/office/2006/metadata/properties" ma:root="true" ma:fieldsID="12477d73aacdc44bb2b43bb4ec752391" ns2:_="" ns3:_="">
    <xsd:import namespace="85439af3-7d87-4228-a591-9885807d76d2"/>
    <xsd:import namespace="7b905fab-6916-497b-9ff3-434de14b7d0f"/>
    <xsd:element name="properties">
      <xsd:complexType>
        <xsd:sequence>
          <xsd:element name="documentManagement">
            <xsd:complexType>
              <xsd:all>
                <xsd:element ref="ns2:Danva_Emneord" minOccurs="0"/>
                <xsd:element ref="ns2:Danva_Dokumenttype" minOccurs="0"/>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2:SharedWithUsers" minOccurs="0"/>
                <xsd:element ref="ns2:SharedWithDetails" minOccurs="0"/>
                <xsd:element ref="ns3:MediaServiceAutoKeyPoints" minOccurs="0"/>
                <xsd:element ref="ns3:MediaServiceKeyPoint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439af3-7d87-4228-a591-9885807d76d2" elementFormDefault="qualified">
    <xsd:import namespace="http://schemas.microsoft.com/office/2006/documentManagement/types"/>
    <xsd:import namespace="http://schemas.microsoft.com/office/infopath/2007/PartnerControls"/>
    <xsd:element name="Danva_Emneord" ma:index="8" nillable="true" ma:displayName="Danva Emneord" ma:default="" ma:internalName="Danva_x0020_Emneord">
      <xsd:complexType>
        <xsd:complexContent>
          <xsd:extension base="dms:MultiChoice">
            <xsd:sequence>
              <xsd:element name="Value" maxOccurs="unbounded" minOccurs="0" nillable="true">
                <xsd:simpleType>
                  <xsd:restriction base="dms:Choice">
                    <xsd:enumeration value="Grundvand"/>
                    <xsd:enumeration value="Drikkevand"/>
                    <xsd:enumeration value="Spildevand"/>
                    <xsd:enumeration value="Afløb"/>
                    <xsd:enumeration value="Lovgivning"/>
                    <xsd:enumeration value="Innovation"/>
                    <xsd:enumeration value="Internationalt samarbejde"/>
                    <xsd:enumeration value="Klima"/>
                    <xsd:enumeration value="Klimatilpasning"/>
                    <xsd:enumeration value="Samarbejdspartnere"/>
                    <xsd:enumeration value="Administration"/>
                  </xsd:restriction>
                </xsd:simpleType>
              </xsd:element>
            </xsd:sequence>
          </xsd:extension>
        </xsd:complexContent>
      </xsd:complexType>
    </xsd:element>
    <xsd:element name="Danva_Dokumenttype" ma:index="9" nillable="true" ma:displayName="Dokumenttype" ma:default="" ma:format="Dropdown" ma:internalName="Danva_x0020_Dokumenttype">
      <xsd:simpleType>
        <xsd:restriction base="dms:Choice">
          <xsd:enumeration value="ATR skema – budgetændring"/>
          <xsd:enumeration value="ATR skema"/>
          <xsd:enumeration value="Bilag"/>
          <xsd:enumeration value="Brev/E-mail"/>
          <xsd:enumeration value="Dagsorden/referat"/>
          <xsd:enumeration value="Drøftelse ved møder"/>
          <xsd:enumeration value="DANVA Flyer"/>
          <xsd:enumeration value="Indstilling til beslutning"/>
          <xsd:enumeration value="Memo"/>
          <xsd:enumeration value="Mundtlig orientering"/>
          <xsd:enumeration value="Notat"/>
          <xsd:enumeration value="Procedurebeskrivelse"/>
          <xsd:enumeration value="Rapport"/>
          <xsd:enumeration value="Pjecer"/>
          <xsd:enumeration value="Foldere"/>
          <xsd:enumeration value="Artikel"/>
          <xsd:enumeration value="Pressemeddelelse"/>
          <xsd:enumeration value="Skriftlig orientering"/>
          <xsd:enumeration value="Vejledning"/>
          <xsd:enumeration value="Kontrakter"/>
          <xsd:enumeration value="PowerPoints"/>
        </xsd:restriction>
      </xsd:simpleType>
    </xsd:element>
    <xsd:element name="SharedWithUsers" ma:index="17"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lt med detaljer" ma:internalName="SharedWithDetails" ma:readOnly="true">
      <xsd:simpleType>
        <xsd:restriction base="dms:Note">
          <xsd:maxLength value="255"/>
        </xsd:restriction>
      </xsd:simpleType>
    </xsd:element>
    <xsd:element name="TaxCatchAll" ma:index="23" nillable="true" ma:displayName="Taxonomy Catch All Column" ma:hidden="true" ma:list="{123df012-796b-47c0-982c-4b42531b121a}" ma:internalName="TaxCatchAll" ma:showField="CatchAllData" ma:web="85439af3-7d87-4228-a591-9885807d76d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7b905fab-6916-497b-9ff3-434de14b7d0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lcf76f155ced4ddcb4097134ff3c332f" ma:index="22" nillable="true" ma:taxonomy="true" ma:internalName="lcf76f155ced4ddcb4097134ff3c332f" ma:taxonomyFieldName="MediaServiceImageTags" ma:displayName="Billedmærker" ma:readOnly="false" ma:fieldId="{5cf76f15-5ced-4ddc-b409-7134ff3c332f}" ma:taxonomyMulti="true" ma:sspId="3bc99448-09c4-4342-852c-a67baaffca3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7b905fab-6916-497b-9ff3-434de14b7d0f">
      <Terms xmlns="http://schemas.microsoft.com/office/infopath/2007/PartnerControls"/>
    </lcf76f155ced4ddcb4097134ff3c332f>
    <Danva_Dokumenttype xmlns="85439af3-7d87-4228-a591-9885807d76d2" xsi:nil="true"/>
    <TaxCatchAll xmlns="85439af3-7d87-4228-a591-9885807d76d2" xsi:nil="true"/>
    <Danva_Emneord xmlns="85439af3-7d87-4228-a591-9885807d76d2" xsi:nil="true"/>
  </documentManagement>
</p:properties>
</file>

<file path=customXml/itemProps1.xml><?xml version="1.0" encoding="utf-8"?>
<ds:datastoreItem xmlns:ds="http://schemas.openxmlformats.org/officeDocument/2006/customXml" ds:itemID="{53EFD372-10C7-4D42-93EF-44F9973A4EC4}">
  <ds:schemaRefs>
    <ds:schemaRef ds:uri="http://schemas.microsoft.com/sharepoint/v3/contenttype/forms"/>
  </ds:schemaRefs>
</ds:datastoreItem>
</file>

<file path=customXml/itemProps2.xml><?xml version="1.0" encoding="utf-8"?>
<ds:datastoreItem xmlns:ds="http://schemas.openxmlformats.org/officeDocument/2006/customXml" ds:itemID="{1A299ADC-A357-4C1E-8867-F282F3E605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439af3-7d87-4228-a591-9885807d76d2"/>
    <ds:schemaRef ds:uri="7b905fab-6916-497b-9ff3-434de14b7d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32050C4-4B5C-4713-B242-6A7279EDE23B}">
  <ds:schemaRefs>
    <ds:schemaRef ds:uri="http://schemas.microsoft.com/DataMashup"/>
  </ds:schemaRefs>
</ds:datastoreItem>
</file>

<file path=customXml/itemProps4.xml><?xml version="1.0" encoding="utf-8"?>
<ds:datastoreItem xmlns:ds="http://schemas.openxmlformats.org/officeDocument/2006/customXml" ds:itemID="{F5DE96AC-0989-4450-80CD-5F98BCD5D709}">
  <ds:schemaRefs>
    <ds:schemaRef ds:uri="http://purl.org/dc/elements/1.1/"/>
    <ds:schemaRef ds:uri="http://www.w3.org/XML/1998/namespace"/>
    <ds:schemaRef ds:uri="http://schemas.openxmlformats.org/package/2006/metadata/core-properties"/>
    <ds:schemaRef ds:uri="http://schemas.microsoft.com/office/infopath/2007/PartnerControls"/>
    <ds:schemaRef ds:uri="http://schemas.microsoft.com/office/2006/documentManagement/types"/>
    <ds:schemaRef ds:uri="http://purl.org/dc/terms/"/>
    <ds:schemaRef ds:uri="http://schemas.microsoft.com/office/2006/metadata/properties"/>
    <ds:schemaRef ds:uri="85439af3-7d87-4228-a591-9885807d76d2"/>
    <ds:schemaRef ds:uri="7b905fab-6916-497b-9ff3-434de14b7d0f"/>
    <ds:schemaRef ds:uri="http://purl.org/dc/dcmitype/"/>
  </ds:schemaRefs>
</ds:datastoreItem>
</file>

<file path=docMetadata/LabelInfo.xml><?xml version="1.0" encoding="utf-8"?>
<clbl:labelList xmlns:clbl="http://schemas.microsoft.com/office/2020/mipLabelMetadata">
  <clbl:label id="{eac6a575-b1c3-4641-9c0c-5dc5f84f57c6}" enabled="0" method="" siteId="{eac6a575-b1c3-4641-9c0c-5dc5f84f57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Introduktion</vt:lpstr>
      <vt:lpstr>Basisoplysninger</vt:lpstr>
      <vt:lpstr>Strategi</vt:lpstr>
      <vt:lpstr>Drikkevand</vt:lpstr>
      <vt:lpstr>Afløb</vt:lpstr>
      <vt:lpstr>Renseanlæg</vt:lpstr>
      <vt:lpstr>Hjælp</vt:lpstr>
      <vt:lpstr>Resultat drikkevand</vt:lpstr>
      <vt:lpstr>Resultat afløb</vt:lpstr>
      <vt:lpstr>Resultat renseanlæg</vt:lpstr>
      <vt:lpstr>EF</vt:lpstr>
      <vt:lpstr>Data DV</vt:lpstr>
      <vt:lpstr>Data SPV trans</vt:lpstr>
      <vt:lpstr>Data SPV rens</vt:lpstr>
      <vt:lpstr>rDV</vt:lpstr>
      <vt:lpstr>rSPV</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Line Møller Ringgaard</dc:creator>
  <cp:keywords/>
  <dc:description/>
  <cp:lastModifiedBy>Rasmus Fuhr Povlsen</cp:lastModifiedBy>
  <cp:revision/>
  <dcterms:created xsi:type="dcterms:W3CDTF">2015-06-05T18:19:34Z</dcterms:created>
  <dcterms:modified xsi:type="dcterms:W3CDTF">2025-02-10T11:06:53Z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0x010100B831FAAC9F735941A2AC6B22BF2203EC002ABB66CCAD972B4EA2A8E4288B5AE069</vt:lpwstr>
  </property>
  <property fmtid="{D5CDD505-2E9C-101B-9397-08002B2CF9AE}" pid="3" name="MediaServiceImageTags">
    <vt:lpwstr/>
  </property>
</Properties>
</file>