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1.xml" ContentType="application/vnd.openxmlformats-officedocument.drawingml.chart+xml"/>
  <Override PartName="/xl/charts/colors1.xml" ContentType="application/vnd.ms-office.chartcolorstyle+xml"/>
  <Override PartName="/xl/charts/style1.xml" ContentType="application/vnd.ms-office.chartstyle+xml"/>
  <Override PartName="/xl/externalLinks/externalLink1.xml" ContentType="application/vnd.openxmlformats-officedocument.spreadsheetml.externalLink+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BIO-ESDHWEB\TempHomeDir$\lkn\DocuNote\Read Only\"/>
    </mc:Choice>
  </mc:AlternateContent>
  <xr:revisionPtr revIDLastSave="0" documentId="8_{075B899B-208C-4918-9BBD-7FA4C4C68434}" xr6:coauthVersionLast="47" xr6:coauthVersionMax="47" xr10:uidLastSave="{00000000-0000-0000-0000-000000000000}"/>
  <bookViews>
    <workbookView xWindow="735" yWindow="735" windowWidth="21600" windowHeight="11325" tabRatio="815" activeTab="2" xr2:uid="{33DF14E8-A69D-40BC-A095-07352AA80608}"/>
  </bookViews>
  <sheets>
    <sheet name="Guide til LCI" sheetId="18" r:id="rId1"/>
    <sheet name="TK1 - Dewatering" sheetId="5" r:id="rId2"/>
    <sheet name="TK2 - Incineration" sheetId="7" r:id="rId3"/>
    <sheet name="TK3 - Pyrolysis" sheetId="8" r:id="rId4"/>
    <sheet name="TK4 - Mineralisation" sheetId="9" r:id="rId5"/>
    <sheet name="References" sheetId="17" r:id="rId6"/>
    <sheet name="LCIA Resultater fra modellering" sheetId="19" r:id="rId7"/>
  </sheets>
  <externalReferences>
    <externalReference r:id="rId8"/>
  </externalReferences>
  <definedNames>
    <definedName name="_Toc125665115" localSheetId="2">'TK2 - Incineration'!#REF!</definedName>
    <definedName name="_Toc125665116" localSheetId="2">'TK2 - Incineration'!#REF!</definedName>
    <definedName name="_Toc125665121" localSheetId="2">'TK2 - Incineration'!#REF!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2" i="19" l="1"/>
  <c r="G73" i="19"/>
  <c r="G74" i="19"/>
  <c r="G75" i="19"/>
  <c r="G76" i="19"/>
  <c r="D45" i="19" l="1"/>
  <c r="E45" i="19"/>
  <c r="F45" i="19"/>
  <c r="G45" i="19"/>
  <c r="H45" i="19"/>
  <c r="I45" i="19"/>
  <c r="J45" i="19"/>
  <c r="K45" i="19"/>
  <c r="L45" i="19"/>
  <c r="M45" i="19"/>
  <c r="N45" i="19"/>
  <c r="O45" i="19"/>
  <c r="P45" i="19"/>
  <c r="Q45" i="19"/>
  <c r="R45" i="19"/>
  <c r="D46" i="19"/>
  <c r="E46" i="19"/>
  <c r="F46" i="19"/>
  <c r="G46" i="19"/>
  <c r="H46" i="19"/>
  <c r="I46" i="19"/>
  <c r="J46" i="19"/>
  <c r="K46" i="19"/>
  <c r="L46" i="19"/>
  <c r="M46" i="19"/>
  <c r="N46" i="19"/>
  <c r="O46" i="19"/>
  <c r="P46" i="19"/>
  <c r="Q46" i="19"/>
  <c r="R46" i="19"/>
  <c r="D47" i="19"/>
  <c r="E47" i="19"/>
  <c r="F47" i="19"/>
  <c r="G47" i="19"/>
  <c r="H47" i="19"/>
  <c r="I47" i="19"/>
  <c r="J47" i="19"/>
  <c r="K47" i="19"/>
  <c r="L47" i="19"/>
  <c r="M47" i="19"/>
  <c r="N47" i="19"/>
  <c r="O47" i="19"/>
  <c r="P47" i="19"/>
  <c r="Q47" i="19"/>
  <c r="R47" i="19"/>
  <c r="D48" i="19"/>
  <c r="E48" i="19"/>
  <c r="F48" i="19"/>
  <c r="G48" i="19"/>
  <c r="H48" i="19"/>
  <c r="I48" i="19"/>
  <c r="J48" i="19"/>
  <c r="K48" i="19"/>
  <c r="L48" i="19"/>
  <c r="M48" i="19"/>
  <c r="N48" i="19"/>
  <c r="O48" i="19"/>
  <c r="P48" i="19"/>
  <c r="Q48" i="19"/>
  <c r="R48" i="19"/>
  <c r="D49" i="19"/>
  <c r="E49" i="19"/>
  <c r="F49" i="19"/>
  <c r="G49" i="19"/>
  <c r="H49" i="19"/>
  <c r="I49" i="19"/>
  <c r="J49" i="19"/>
  <c r="K49" i="19"/>
  <c r="L49" i="19"/>
  <c r="M49" i="19"/>
  <c r="N49" i="19"/>
  <c r="O49" i="19"/>
  <c r="P49" i="19"/>
  <c r="Q49" i="19"/>
  <c r="R49" i="19"/>
  <c r="C45" i="19"/>
  <c r="C46" i="19"/>
  <c r="C47" i="19"/>
  <c r="C48" i="19"/>
  <c r="C49" i="19"/>
  <c r="H66" i="5"/>
  <c r="H65" i="5"/>
  <c r="I103" i="9"/>
  <c r="I102" i="9"/>
  <c r="H7" i="8" l="1"/>
  <c r="U7" i="8" s="1"/>
  <c r="BL29" i="8"/>
  <c r="BL30" i="8" s="1"/>
  <c r="BL31" i="8" s="1"/>
  <c r="BL32" i="8" s="1"/>
  <c r="H48" i="8"/>
  <c r="H47" i="8"/>
  <c r="H46" i="8"/>
  <c r="H5" i="8"/>
  <c r="H4" i="8"/>
  <c r="AP16" i="7"/>
  <c r="AR16" i="7" s="1"/>
  <c r="H7" i="7" s="1"/>
  <c r="AP12" i="7"/>
  <c r="H24" i="7" s="1"/>
  <c r="G45" i="7"/>
  <c r="G48" i="7"/>
  <c r="G43" i="7"/>
  <c r="G44" i="7"/>
  <c r="G40" i="7"/>
  <c r="AP11" i="7"/>
  <c r="AH14" i="7" s="1"/>
  <c r="AP15" i="7"/>
  <c r="H25" i="7" s="1"/>
  <c r="AD15" i="7"/>
  <c r="AP14" i="7"/>
  <c r="H33" i="7" s="1"/>
  <c r="AP13" i="7"/>
  <c r="H32" i="7" s="1"/>
  <c r="AA12" i="7"/>
  <c r="AD12" i="7" s="1"/>
  <c r="G34" i="7" s="1"/>
  <c r="AA11" i="7"/>
  <c r="AD11" i="7" s="1"/>
  <c r="G33" i="7" s="1"/>
  <c r="AA10" i="7"/>
  <c r="AD10" i="7" s="1"/>
  <c r="G32" i="7" s="1"/>
  <c r="AA9" i="7"/>
  <c r="AD9" i="7" s="1"/>
  <c r="G25" i="7" s="1"/>
  <c r="AA8" i="7"/>
  <c r="AD8" i="7" s="1"/>
  <c r="AH13" i="7" s="1"/>
  <c r="AA7" i="7"/>
  <c r="AD7" i="7" s="1"/>
  <c r="AQ6" i="7"/>
  <c r="AS6" i="7" s="1"/>
  <c r="H9" i="9"/>
  <c r="T64" i="9"/>
  <c r="AH12" i="7" l="1"/>
  <c r="G26" i="7"/>
  <c r="G24" i="7"/>
  <c r="G10" i="5"/>
  <c r="G16" i="5"/>
  <c r="G8" i="5"/>
  <c r="I8" i="7"/>
  <c r="K8" i="7" s="1"/>
  <c r="G90" i="5"/>
  <c r="W85" i="8"/>
  <c r="K85" i="8" s="1"/>
  <c r="W47" i="8"/>
  <c r="K47" i="8" s="1"/>
  <c r="W46" i="8"/>
  <c r="K46" i="8" s="1"/>
  <c r="W42" i="8"/>
  <c r="K42" i="8" s="1"/>
  <c r="W41" i="8"/>
  <c r="K41" i="8" s="1"/>
  <c r="W40" i="8"/>
  <c r="K40" i="8" s="1"/>
  <c r="W39" i="8"/>
  <c r="K39" i="8" s="1"/>
  <c r="W38" i="8"/>
  <c r="K38" i="8" s="1"/>
  <c r="W37" i="8"/>
  <c r="K37" i="8" s="1"/>
  <c r="W36" i="8"/>
  <c r="K36" i="8" s="1"/>
  <c r="W35" i="8"/>
  <c r="K35" i="8" s="1"/>
  <c r="H84" i="8"/>
  <c r="W84" i="8" s="1"/>
  <c r="K84" i="8" s="1"/>
  <c r="H75" i="8" l="1"/>
  <c r="W75" i="8" s="1"/>
  <c r="K75" i="8" s="1"/>
  <c r="H74" i="8"/>
  <c r="W74" i="8" s="1"/>
  <c r="K74" i="8" s="1"/>
  <c r="H72" i="8"/>
  <c r="W72" i="8" s="1"/>
  <c r="K72" i="8" s="1"/>
  <c r="H71" i="8"/>
  <c r="W71" i="8" s="1"/>
  <c r="K71" i="8" s="1"/>
  <c r="H70" i="8"/>
  <c r="W70" i="8" s="1"/>
  <c r="K70" i="8" s="1"/>
  <c r="H69" i="8"/>
  <c r="W69" i="8" s="1"/>
  <c r="K69" i="8" s="1"/>
  <c r="H68" i="8"/>
  <c r="W68" i="8" s="1"/>
  <c r="K68" i="8" s="1"/>
  <c r="BU88" i="8" l="1"/>
  <c r="BU89" i="8"/>
  <c r="H18" i="8" s="1"/>
  <c r="W18" i="8" s="1"/>
  <c r="K18" i="8" s="1"/>
  <c r="BU90" i="8"/>
  <c r="H20" i="8" s="1"/>
  <c r="W20" i="8" s="1"/>
  <c r="K20" i="8" s="1"/>
  <c r="BU91" i="8"/>
  <c r="H22" i="8" s="1"/>
  <c r="W22" i="8" s="1"/>
  <c r="K22" i="8" s="1"/>
  <c r="BU92" i="8"/>
  <c r="H24" i="8" s="1"/>
  <c r="W24" i="8" s="1"/>
  <c r="K24" i="8" s="1"/>
  <c r="BU93" i="8"/>
  <c r="I16" i="8" s="1"/>
  <c r="BU94" i="8"/>
  <c r="BU95" i="8"/>
  <c r="H26" i="8" s="1"/>
  <c r="W26" i="8" s="1"/>
  <c r="K26" i="8" s="1"/>
  <c r="BU96" i="8"/>
  <c r="H28" i="8" s="1"/>
  <c r="W28" i="8" s="1"/>
  <c r="K28" i="8" s="1"/>
  <c r="BU97" i="8"/>
  <c r="I10" i="8" s="1"/>
  <c r="BU98" i="8"/>
  <c r="I12" i="8" s="1"/>
  <c r="BU99" i="8"/>
  <c r="BU87" i="8"/>
  <c r="BS88" i="8"/>
  <c r="BS89" i="8"/>
  <c r="H19" i="8" s="1"/>
  <c r="W19" i="8" s="1"/>
  <c r="K19" i="8" s="1"/>
  <c r="BS90" i="8"/>
  <c r="H21" i="8" s="1"/>
  <c r="W21" i="8" s="1"/>
  <c r="K21" i="8" s="1"/>
  <c r="BS91" i="8"/>
  <c r="H23" i="8" s="1"/>
  <c r="W23" i="8" s="1"/>
  <c r="K23" i="8" s="1"/>
  <c r="BS92" i="8"/>
  <c r="H25" i="8" s="1"/>
  <c r="W25" i="8" s="1"/>
  <c r="K25" i="8" s="1"/>
  <c r="BS93" i="8"/>
  <c r="I17" i="8" s="1"/>
  <c r="BS94" i="8"/>
  <c r="BS95" i="8"/>
  <c r="H27" i="8" s="1"/>
  <c r="W27" i="8" s="1"/>
  <c r="K27" i="8" s="1"/>
  <c r="BS96" i="8"/>
  <c r="H29" i="8" s="1"/>
  <c r="W29" i="8" s="1"/>
  <c r="K29" i="8" s="1"/>
  <c r="BS97" i="8"/>
  <c r="I11" i="8" s="1"/>
  <c r="BS98" i="8"/>
  <c r="I13" i="8" s="1"/>
  <c r="W13" i="8" s="1"/>
  <c r="K13" i="8" s="1"/>
  <c r="BS99" i="8"/>
  <c r="H31" i="8" s="1"/>
  <c r="W31" i="8" s="1"/>
  <c r="K31" i="8" s="1"/>
  <c r="BS87" i="8"/>
  <c r="BP88" i="8"/>
  <c r="BP89" i="8"/>
  <c r="BP90" i="8"/>
  <c r="BP91" i="8"/>
  <c r="BP92" i="8"/>
  <c r="BP93" i="8"/>
  <c r="BP94" i="8"/>
  <c r="BP95" i="8"/>
  <c r="BP96" i="8"/>
  <c r="BP97" i="8"/>
  <c r="BP98" i="8"/>
  <c r="BP99" i="8"/>
  <c r="BP87" i="8"/>
  <c r="BK99" i="8"/>
  <c r="BJ99" i="8"/>
  <c r="BI99" i="8"/>
  <c r="BH99" i="8"/>
  <c r="BK98" i="8"/>
  <c r="BJ98" i="8"/>
  <c r="BI98" i="8"/>
  <c r="BH98" i="8"/>
  <c r="BK97" i="8"/>
  <c r="BJ97" i="8"/>
  <c r="BI97" i="8"/>
  <c r="BH97" i="8"/>
  <c r="BK96" i="8"/>
  <c r="BJ96" i="8"/>
  <c r="BI96" i="8"/>
  <c r="BH96" i="8"/>
  <c r="BK95" i="8"/>
  <c r="BJ95" i="8"/>
  <c r="BI95" i="8"/>
  <c r="BH95" i="8"/>
  <c r="BK94" i="8"/>
  <c r="BJ94" i="8"/>
  <c r="BI94" i="8"/>
  <c r="BH94" i="8"/>
  <c r="BK93" i="8"/>
  <c r="BJ93" i="8"/>
  <c r="BI93" i="8"/>
  <c r="BH93" i="8"/>
  <c r="BK92" i="8"/>
  <c r="BJ92" i="8"/>
  <c r="BI92" i="8"/>
  <c r="BH92" i="8"/>
  <c r="BK91" i="8"/>
  <c r="BJ91" i="8"/>
  <c r="BI91" i="8"/>
  <c r="BH91" i="8"/>
  <c r="BK90" i="8"/>
  <c r="BJ90" i="8"/>
  <c r="BI90" i="8"/>
  <c r="BH90" i="8"/>
  <c r="BK89" i="8"/>
  <c r="BJ89" i="8"/>
  <c r="BI89" i="8"/>
  <c r="BH89" i="8"/>
  <c r="BK88" i="8"/>
  <c r="BJ88" i="8"/>
  <c r="BI88" i="8"/>
  <c r="BH88" i="8"/>
  <c r="BK87" i="8"/>
  <c r="BJ87" i="8"/>
  <c r="BI87" i="8"/>
  <c r="BH87" i="8"/>
  <c r="BV89" i="8" l="1"/>
  <c r="BV99" i="8"/>
  <c r="H30" i="8"/>
  <c r="W30" i="8" s="1"/>
  <c r="K30" i="8" s="1"/>
  <c r="BV91" i="8"/>
  <c r="BV97" i="8"/>
  <c r="BV96" i="8"/>
  <c r="BV95" i="8"/>
  <c r="BV94" i="8"/>
  <c r="BV93" i="8"/>
  <c r="BV92" i="8"/>
  <c r="BV88" i="8"/>
  <c r="BV87" i="8"/>
  <c r="BV90" i="8"/>
  <c r="BV98" i="8"/>
  <c r="R59" i="9" l="1"/>
  <c r="R60" i="9"/>
  <c r="R61" i="9"/>
  <c r="R62" i="9"/>
  <c r="R63" i="9"/>
  <c r="R64" i="9"/>
  <c r="U64" i="9" s="1"/>
  <c r="R65" i="9"/>
  <c r="R66" i="9"/>
  <c r="R67" i="9"/>
  <c r="R68" i="9"/>
  <c r="R69" i="9"/>
  <c r="R70" i="9"/>
  <c r="R71" i="9"/>
  <c r="R72" i="9"/>
  <c r="T60" i="9"/>
  <c r="T61" i="9"/>
  <c r="T62" i="9"/>
  <c r="T63" i="9"/>
  <c r="T65" i="9"/>
  <c r="T66" i="9"/>
  <c r="T67" i="9"/>
  <c r="T68" i="9"/>
  <c r="T69" i="9"/>
  <c r="T70" i="9"/>
  <c r="T71" i="9"/>
  <c r="T72" i="9"/>
  <c r="T59" i="9"/>
  <c r="T56" i="9"/>
  <c r="T57" i="9"/>
  <c r="T55" i="9"/>
  <c r="R56" i="9"/>
  <c r="U56" i="9" s="1"/>
  <c r="R57" i="9"/>
  <c r="P55" i="9"/>
  <c r="CE180" i="9"/>
  <c r="CE175" i="9"/>
  <c r="CE176" i="9"/>
  <c r="CE177" i="9"/>
  <c r="CE178" i="9"/>
  <c r="CE181" i="9"/>
  <c r="CE182" i="9"/>
  <c r="CE183" i="9"/>
  <c r="BG176" i="9"/>
  <c r="BR177" i="9"/>
  <c r="BT182" i="9"/>
  <c r="CD182" i="9" s="1"/>
  <c r="BT176" i="9"/>
  <c r="CD176" i="9" s="1"/>
  <c r="CF176" i="9" s="1"/>
  <c r="BT177" i="9"/>
  <c r="BT178" i="9"/>
  <c r="CD178" i="9" s="1"/>
  <c r="BT180" i="9"/>
  <c r="CD180" i="9" s="1"/>
  <c r="BT181" i="9"/>
  <c r="CD181" i="9" s="1"/>
  <c r="BT183" i="9"/>
  <c r="CD183" i="9" s="1"/>
  <c r="BT175" i="9"/>
  <c r="CD175" i="9" s="1"/>
  <c r="BS176" i="9"/>
  <c r="BS177" i="9"/>
  <c r="BS178" i="9"/>
  <c r="BS180" i="9"/>
  <c r="BS181" i="9"/>
  <c r="BS182" i="9"/>
  <c r="BS183" i="9"/>
  <c r="BS175" i="9"/>
  <c r="BR176" i="9"/>
  <c r="BR178" i="9"/>
  <c r="BR180" i="9"/>
  <c r="BR181" i="9"/>
  <c r="BR182" i="9"/>
  <c r="BR183" i="9"/>
  <c r="BR175" i="9"/>
  <c r="AP167" i="9"/>
  <c r="AQ168" i="9"/>
  <c r="AQ167" i="9" s="1"/>
  <c r="AR168" i="9"/>
  <c r="AR167" i="9" s="1"/>
  <c r="AO168" i="9"/>
  <c r="AO167" i="9" s="1"/>
  <c r="AX151" i="9"/>
  <c r="CF180" i="9" l="1"/>
  <c r="U57" i="9"/>
  <c r="CF175" i="9"/>
  <c r="U59" i="9"/>
  <c r="BV180" i="9"/>
  <c r="U68" i="9"/>
  <c r="CF178" i="9"/>
  <c r="CE179" i="9"/>
  <c r="BS179" i="9"/>
  <c r="BV175" i="9"/>
  <c r="U72" i="9"/>
  <c r="BW175" i="9"/>
  <c r="BT179" i="9"/>
  <c r="CD179" i="9" s="1"/>
  <c r="CD177" i="9"/>
  <c r="CF177" i="9" s="1"/>
  <c r="U70" i="9"/>
  <c r="U62" i="9"/>
  <c r="BV177" i="9"/>
  <c r="U69" i="9"/>
  <c r="U61" i="9"/>
  <c r="U60" i="9"/>
  <c r="U67" i="9"/>
  <c r="U66" i="9"/>
  <c r="U65" i="9"/>
  <c r="U71" i="9"/>
  <c r="U63" i="9"/>
  <c r="U55" i="9"/>
  <c r="BU175" i="9"/>
  <c r="BX175" i="9" s="1"/>
  <c r="BU183" i="9"/>
  <c r="BX183" i="9" s="1"/>
  <c r="BW176" i="9"/>
  <c r="BU182" i="9"/>
  <c r="BX182" i="9" s="1"/>
  <c r="BV176" i="9"/>
  <c r="BV182" i="9"/>
  <c r="BU180" i="9"/>
  <c r="CA180" i="9" s="1"/>
  <c r="BR179" i="9"/>
  <c r="BW178" i="9"/>
  <c r="BW183" i="9"/>
  <c r="BU181" i="9"/>
  <c r="CA181" i="9" s="1"/>
  <c r="BV181" i="9"/>
  <c r="BU178" i="9"/>
  <c r="CA178" i="9" s="1"/>
  <c r="BU177" i="9"/>
  <c r="BX176" i="9"/>
  <c r="BW177" i="9"/>
  <c r="BW182" i="9"/>
  <c r="BV178" i="9"/>
  <c r="BW181" i="9"/>
  <c r="BW180" i="9"/>
  <c r="BV183" i="9"/>
  <c r="BO176" i="9"/>
  <c r="BO177" i="9"/>
  <c r="BO178" i="9"/>
  <c r="BO179" i="9"/>
  <c r="BO180" i="9"/>
  <c r="BO181" i="9"/>
  <c r="BO182" i="9"/>
  <c r="BO183" i="9"/>
  <c r="BO184" i="9"/>
  <c r="BO185" i="9"/>
  <c r="BO186" i="9"/>
  <c r="BO187" i="9"/>
  <c r="BO188" i="9"/>
  <c r="BO189" i="9"/>
  <c r="BO190" i="9"/>
  <c r="BO191" i="9"/>
  <c r="BO192" i="9"/>
  <c r="BO193" i="9"/>
  <c r="BO194" i="9"/>
  <c r="BO175" i="9"/>
  <c r="BM176" i="9"/>
  <c r="BN176" i="9"/>
  <c r="BN177" i="9"/>
  <c r="BN178" i="9"/>
  <c r="BN179" i="9"/>
  <c r="BN180" i="9"/>
  <c r="BN181" i="9"/>
  <c r="BN182" i="9"/>
  <c r="BN183" i="9"/>
  <c r="BN184" i="9"/>
  <c r="BN185" i="9"/>
  <c r="BN186" i="9"/>
  <c r="BN187" i="9"/>
  <c r="BN188" i="9"/>
  <c r="BN189" i="9"/>
  <c r="BN190" i="9"/>
  <c r="BN191" i="9"/>
  <c r="BN192" i="9"/>
  <c r="BN193" i="9"/>
  <c r="BN194" i="9"/>
  <c r="BN175" i="9"/>
  <c r="BM175" i="9"/>
  <c r="BM177" i="9"/>
  <c r="BM178" i="9"/>
  <c r="BM179" i="9"/>
  <c r="BM180" i="9"/>
  <c r="BM181" i="9"/>
  <c r="BM182" i="9"/>
  <c r="BM183" i="9"/>
  <c r="BM184" i="9"/>
  <c r="BM185" i="9"/>
  <c r="BM186" i="9"/>
  <c r="BM187" i="9"/>
  <c r="BM188" i="9"/>
  <c r="BM189" i="9"/>
  <c r="BM190" i="9"/>
  <c r="BM191" i="9"/>
  <c r="BM192" i="9"/>
  <c r="BM193" i="9"/>
  <c r="BM194" i="9"/>
  <c r="BG177" i="9"/>
  <c r="BG178" i="9"/>
  <c r="BG179" i="9"/>
  <c r="BG180" i="9"/>
  <c r="BG181" i="9"/>
  <c r="BG182" i="9"/>
  <c r="BG183" i="9"/>
  <c r="BG184" i="9"/>
  <c r="BG185" i="9"/>
  <c r="BG186" i="9"/>
  <c r="BG187" i="9"/>
  <c r="BG188" i="9"/>
  <c r="BG189" i="9"/>
  <c r="BG190" i="9"/>
  <c r="BG191" i="9"/>
  <c r="BG192" i="9"/>
  <c r="BG193" i="9"/>
  <c r="BG194" i="9"/>
  <c r="BG175" i="9"/>
  <c r="CF179" i="9" l="1"/>
  <c r="BW179" i="9"/>
  <c r="BU179" i="9"/>
  <c r="BZ179" i="9" s="1"/>
  <c r="F58" i="9" s="1"/>
  <c r="BY175" i="9"/>
  <c r="BY182" i="9"/>
  <c r="CA183" i="9"/>
  <c r="BY183" i="9"/>
  <c r="CB177" i="9"/>
  <c r="BZ177" i="9"/>
  <c r="BY176" i="9"/>
  <c r="BZ183" i="9"/>
  <c r="CB183" i="9"/>
  <c r="CA182" i="9"/>
  <c r="BZ182" i="9"/>
  <c r="CB182" i="9"/>
  <c r="BZ180" i="9"/>
  <c r="CB180" i="9"/>
  <c r="BX180" i="9"/>
  <c r="BY180" i="9" s="1"/>
  <c r="BX178" i="9"/>
  <c r="BY178" i="9" s="1"/>
  <c r="CB178" i="9"/>
  <c r="BZ181" i="9"/>
  <c r="BZ178" i="9"/>
  <c r="BX177" i="9"/>
  <c r="BY177" i="9" s="1"/>
  <c r="BX181" i="9"/>
  <c r="BY181" i="9" s="1"/>
  <c r="CA177" i="9"/>
  <c r="CB181" i="9"/>
  <c r="BV179" i="9"/>
  <c r="CA179" i="9" l="1"/>
  <c r="N58" i="9" s="1"/>
  <c r="CC182" i="9"/>
  <c r="CC183" i="9"/>
  <c r="CC178" i="9"/>
  <c r="CC181" i="9"/>
  <c r="CC180" i="9"/>
  <c r="CB179" i="9"/>
  <c r="J58" i="9" s="1"/>
  <c r="BX179" i="9"/>
  <c r="BY179" i="9" s="1"/>
  <c r="CC177" i="9"/>
  <c r="H15" i="8"/>
  <c r="W15" i="8" s="1"/>
  <c r="K15" i="8" s="1"/>
  <c r="H14" i="8"/>
  <c r="W14" i="8" s="1"/>
  <c r="K14" i="8" s="1"/>
  <c r="H17" i="8"/>
  <c r="W17" i="8" s="1"/>
  <c r="K17" i="8" s="1"/>
  <c r="H16" i="8"/>
  <c r="W16" i="8" s="1"/>
  <c r="K16" i="8" s="1"/>
  <c r="H12" i="8"/>
  <c r="W12" i="8" s="1"/>
  <c r="K12" i="8" s="1"/>
  <c r="H11" i="8"/>
  <c r="W11" i="8" s="1"/>
  <c r="K11" i="8" s="1"/>
  <c r="H10" i="8"/>
  <c r="W10" i="8" s="1"/>
  <c r="K10" i="8" s="1"/>
  <c r="BE149" i="8"/>
  <c r="H76" i="8" s="1"/>
  <c r="W76" i="8" s="1"/>
  <c r="K76" i="8" s="1"/>
  <c r="BE117" i="8"/>
  <c r="H65" i="8" s="1"/>
  <c r="W65" i="8" s="1"/>
  <c r="K65" i="8" s="1"/>
  <c r="BE118" i="8"/>
  <c r="H66" i="8" s="1"/>
  <c r="W66" i="8" s="1"/>
  <c r="K66" i="8" s="1"/>
  <c r="BE119" i="8"/>
  <c r="H67" i="8" s="1"/>
  <c r="W67" i="8" s="1"/>
  <c r="K67" i="8" s="1"/>
  <c r="BE116" i="8"/>
  <c r="H64" i="8" s="1"/>
  <c r="W64" i="8" s="1"/>
  <c r="K64" i="8" s="1"/>
  <c r="H73" i="8"/>
  <c r="W73" i="8" s="1"/>
  <c r="K73" i="8" s="1"/>
  <c r="BE120" i="8" l="1"/>
  <c r="CC179" i="9"/>
  <c r="W48" i="8"/>
  <c r="K48" i="8" s="1"/>
  <c r="AD2" i="5" l="1" a="1"/>
  <c r="AD2" i="5" s="1"/>
  <c r="BD64" i="8" l="1"/>
  <c r="BG43" i="8"/>
  <c r="BG42" i="8"/>
  <c r="BF27" i="8"/>
  <c r="BG24" i="8"/>
  <c r="BD24" i="8"/>
  <c r="BG27" i="8" l="1"/>
  <c r="H6" i="8"/>
  <c r="BG44" i="8"/>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<sst xmlns="http://schemas.openxmlformats.org/spreadsheetml/2006/main" count="2926" uniqueCount="1201">
  <si>
    <t>Anaerobic digestion</t>
  </si>
  <si>
    <t>A0-a</t>
  </si>
  <si>
    <t>A0-b</t>
  </si>
  <si>
    <t>A1</t>
  </si>
  <si>
    <t>A2</t>
  </si>
  <si>
    <t>Description</t>
  </si>
  <si>
    <t>x</t>
  </si>
  <si>
    <t>Biogas distribution</t>
  </si>
  <si>
    <t>WWTP</t>
  </si>
  <si>
    <t>Cbio_AD</t>
  </si>
  <si>
    <t>CH4_biogas</t>
  </si>
  <si>
    <t>%</t>
  </si>
  <si>
    <t>CH4_loss</t>
  </si>
  <si>
    <t>LD(1.8,0.7)</t>
  </si>
  <si>
    <t>Ele_con_AD</t>
  </si>
  <si>
    <t>ND(0.031,0.017)</t>
  </si>
  <si>
    <t>Ele_Rec_AD</t>
  </si>
  <si>
    <t>ND(38.1,7.3)</t>
  </si>
  <si>
    <t>Heat_Rec_AD</t>
  </si>
  <si>
    <t>VS_deg_AD</t>
  </si>
  <si>
    <t>ND(2.7,1.7)</t>
  </si>
  <si>
    <t>kg / kg TS</t>
  </si>
  <si>
    <t>Ash_S_ADDW</t>
  </si>
  <si>
    <t>C_S_ADDW</t>
  </si>
  <si>
    <t>Ele_Con_ADDW</t>
  </si>
  <si>
    <t>K_S_ADDW</t>
  </si>
  <si>
    <t>N_S_ADDW</t>
  </si>
  <si>
    <t>P_S_ADDW</t>
  </si>
  <si>
    <t>Poly_ADDW</t>
  </si>
  <si>
    <t>VS_S_ADDW</t>
  </si>
  <si>
    <t>W_S_ADDW</t>
  </si>
  <si>
    <t>Parameter</t>
  </si>
  <si>
    <t>Unit</t>
  </si>
  <si>
    <t>Kommentar</t>
  </si>
  <si>
    <t>kg/kg wet weight</t>
  </si>
  <si>
    <t>heat background</t>
  </si>
  <si>
    <t>Electricity Generation mix</t>
  </si>
  <si>
    <t>diesel, low-sulfur,diesel production, low-sulfur, petroleum refinery operation,RoW</t>
  </si>
  <si>
    <t>polyacrylamide,polyacrylamide production,GLO</t>
  </si>
  <si>
    <t>-</t>
  </si>
  <si>
    <t>ND(99,1)</t>
  </si>
  <si>
    <t xml:space="preserve"> </t>
  </si>
  <si>
    <t>Ash_FA</t>
  </si>
  <si>
    <t>Cd_FA</t>
  </si>
  <si>
    <t>ND(95.6,3.6)</t>
  </si>
  <si>
    <t>Cd_FG</t>
  </si>
  <si>
    <t>UD(0.02,0.44)</t>
  </si>
  <si>
    <t>Ele_Rec</t>
  </si>
  <si>
    <t>ND(10.8,4.5)</t>
  </si>
  <si>
    <t>Heat_Rec</t>
  </si>
  <si>
    <t>ND(49.8,12.1)</t>
  </si>
  <si>
    <t>Hg_BA</t>
  </si>
  <si>
    <t>ND(10,0.1)</t>
  </si>
  <si>
    <t>Hg_FG</t>
  </si>
  <si>
    <t>AC</t>
  </si>
  <si>
    <t>kg/kg TS input</t>
  </si>
  <si>
    <t>Lime</t>
  </si>
  <si>
    <t>ND(0.0052,0.0042)</t>
  </si>
  <si>
    <t>NaOH</t>
  </si>
  <si>
    <t>ND(0.0509,0.0091)</t>
  </si>
  <si>
    <t>ND(0.05,0.0005)</t>
  </si>
  <si>
    <t>CO_INC</t>
  </si>
  <si>
    <t>HCl_INC</t>
  </si>
  <si>
    <t>Dio_INC</t>
  </si>
  <si>
    <t>HF_INC</t>
  </si>
  <si>
    <t>NH3_INC</t>
  </si>
  <si>
    <t>NOx_INC</t>
  </si>
  <si>
    <t>PM_INC</t>
  </si>
  <si>
    <t>SO2_INC</t>
  </si>
  <si>
    <t>TVOC_INC</t>
  </si>
  <si>
    <t>Ele_con_INC</t>
  </si>
  <si>
    <t>ND(0.36,0.37)</t>
  </si>
  <si>
    <t>Heat_con_INC</t>
  </si>
  <si>
    <t>ND(0.9,1.2)</t>
  </si>
  <si>
    <t>Electrcity consumption (el)</t>
  </si>
  <si>
    <t>kWh/t sludge</t>
  </si>
  <si>
    <t xml:space="preserve">or </t>
  </si>
  <si>
    <t>Kwh/t DS</t>
  </si>
  <si>
    <t>or</t>
  </si>
  <si>
    <t>Kwh/t sludge</t>
  </si>
  <si>
    <t>supplied as LPG or heat (heat in the article)</t>
  </si>
  <si>
    <t>No. Of start-ups</t>
  </si>
  <si>
    <t>Start-ups/year</t>
  </si>
  <si>
    <t>hours/start-up</t>
  </si>
  <si>
    <t>Hours</t>
  </si>
  <si>
    <t>Energy</t>
  </si>
  <si>
    <t>kW</t>
  </si>
  <si>
    <t>MWh</t>
  </si>
  <si>
    <t>Mwh/year</t>
  </si>
  <si>
    <t>kWh/t DS</t>
  </si>
  <si>
    <t>External input of heat</t>
  </si>
  <si>
    <t>Fuel</t>
  </si>
  <si>
    <t>m3 fuel/ton SS</t>
  </si>
  <si>
    <t>Nm3/ton SS</t>
  </si>
  <si>
    <t>fuel oil</t>
  </si>
  <si>
    <t>biogas</t>
  </si>
  <si>
    <t>Density of fuel</t>
  </si>
  <si>
    <t>kg/m3</t>
  </si>
  <si>
    <t>Energy content</t>
  </si>
  <si>
    <t>kWh/kg</t>
  </si>
  <si>
    <t>Start up of process (A1+A2)</t>
  </si>
  <si>
    <t>kWh/ton SS</t>
  </si>
  <si>
    <t>My calc</t>
  </si>
  <si>
    <t>M. Faragò et al., “From wastewater treatment to water resource recovery: Environmental and economic impacts of full-scale implementation,” Water Research, vol. 204, p. 117554, Oct. 2021, doi: 10.1016/J.WATRES.2021.117554.</t>
  </si>
  <si>
    <t>Other sources:</t>
  </si>
  <si>
    <t>data on fluegas treatment from danish incineration plant. Comustion of syngas.</t>
  </si>
  <si>
    <t>Electricity consumption</t>
  </si>
  <si>
    <t>Pyrolysis (A1-A2)</t>
  </si>
  <si>
    <t>Incineration (A0-b)</t>
  </si>
  <si>
    <t>Scope 2: Consumption of data of electricity and heat</t>
  </si>
  <si>
    <t>* A0-a, scope 2 emissions do not occur since the sludge is directly sent to storage and then to agricultural fields and therefore does not incur any treatment onsite that requires energy.</t>
  </si>
  <si>
    <t>Scope 3A: Downstream emissions</t>
  </si>
  <si>
    <t>Scope 3B: Avoided impacts of recovered energy, fertiiser, and carbon sequestration in soil</t>
  </si>
  <si>
    <t>A0-a and A1.  3A downstream emission</t>
  </si>
  <si>
    <t>Chemicals</t>
  </si>
  <si>
    <t>Chemicals for the treatment of the fluegas</t>
  </si>
  <si>
    <t>A0-b Fluegas (Incinerator)</t>
  </si>
  <si>
    <t>A1 Fluegas (from combustion of fluegas)</t>
  </si>
  <si>
    <t>A2 Fluegas (from combustion of fluegas)</t>
  </si>
  <si>
    <t>Carbon sequestration</t>
  </si>
  <si>
    <t>Heat recovery</t>
  </si>
  <si>
    <t>1653 kWh/t DS was report from other study*</t>
  </si>
  <si>
    <t>A1-A2</t>
  </si>
  <si>
    <t>Energy is used for steam dying.</t>
  </si>
  <si>
    <t>Scope 1: Direct emissions occurring within the system boundaries</t>
  </si>
  <si>
    <t>Direct application of dewatered sludge (Use-on-land)</t>
  </si>
  <si>
    <t>Incineration: landfilling of ashes</t>
  </si>
  <si>
    <t>Pyrolysis + biochar</t>
  </si>
  <si>
    <t>Pyrolysis + activated carbon</t>
  </si>
  <si>
    <t>Data from another source (also maria)</t>
  </si>
  <si>
    <t>A1 and A2 combine steam drying and thermal pyrolysis.</t>
  </si>
  <si>
    <t>Life cycle stage</t>
  </si>
  <si>
    <t>Process</t>
  </si>
  <si>
    <t>Min</t>
  </si>
  <si>
    <t>Max</t>
  </si>
  <si>
    <t>Best guess</t>
  </si>
  <si>
    <t xml:space="preserve">Operation </t>
  </si>
  <si>
    <t>Sludge flow - dewatered (internal sludge)</t>
  </si>
  <si>
    <t>ton SS</t>
  </si>
  <si>
    <t xml:space="preserve">[8] </t>
  </si>
  <si>
    <t>Sludge flow - dewatered (external sludge)</t>
  </si>
  <si>
    <t xml:space="preserve">The wastewater operator collects external dewatered sludge from other plants in Denmark that do not have an onsite incineration plant. This corresponds to approx. 35% of the total dewatered sludge (i.e. 7733 tons/year) that goes to incineration. In this study, we excluded the effect of the external sludge and only internal sludge is considered. </t>
  </si>
  <si>
    <t>Data from 2016 x 1.084 [9]. Excluded from the analysis.</t>
  </si>
  <si>
    <t>Fuel oil (gasoline)</t>
  </si>
  <si>
    <r>
      <t>m</t>
    </r>
    <r>
      <rPr>
        <vertAlign val="superscript"/>
        <sz val="8"/>
        <color rgb="FF000000"/>
        <rFont val="Calibri"/>
        <family val="2"/>
      </rPr>
      <t>3</t>
    </r>
  </si>
  <si>
    <r>
      <t>[12] consumption data from 2016 x 1.084 Converted in kg by using a density of 750 kg/m</t>
    </r>
    <r>
      <rPr>
        <vertAlign val="superscript"/>
        <sz val="8"/>
        <color rgb="FF000000"/>
        <rFont val="Calibri"/>
        <family val="2"/>
      </rPr>
      <t>3</t>
    </r>
    <r>
      <rPr>
        <sz val="8"/>
        <color rgb="FF000000"/>
        <rFont val="Calibri"/>
        <family val="2"/>
      </rPr>
      <t xml:space="preserve"> found at [16] </t>
    </r>
  </si>
  <si>
    <t>Biomethane used for incineration</t>
  </si>
  <si>
    <r>
      <t>Nm</t>
    </r>
    <r>
      <rPr>
        <vertAlign val="superscript"/>
        <sz val="8"/>
        <color rgb="FF000000"/>
        <rFont val="Calibri"/>
        <family val="2"/>
      </rPr>
      <t>3</t>
    </r>
    <r>
      <rPr>
        <sz val="8"/>
        <color rgb="FF000000"/>
        <rFont val="Calibri"/>
        <family val="2"/>
      </rPr>
      <t xml:space="preserve"> </t>
    </r>
  </si>
  <si>
    <t>Estimated from energy balance 2016x1.084 [10]. 2% of the total biomethane produced is used for incineration</t>
  </si>
  <si>
    <t>Electricity consumption incineration</t>
  </si>
  <si>
    <t>363 kWh/ton SS</t>
  </si>
  <si>
    <t>Chemicals: NaOH (50%)</t>
  </si>
  <si>
    <t>tons</t>
  </si>
  <si>
    <t>41.8 kg NaOH (50%)/ton SS</t>
  </si>
  <si>
    <r>
      <t>Chemicals: CaCO</t>
    </r>
    <r>
      <rPr>
        <vertAlign val="subscript"/>
        <sz val="8"/>
        <color rgb="FF000000"/>
        <rFont val="Calibri"/>
        <family val="2"/>
      </rPr>
      <t>3</t>
    </r>
    <r>
      <rPr>
        <sz val="8"/>
        <color rgb="FF000000"/>
        <rFont val="Calibri"/>
        <family val="2"/>
      </rPr>
      <t>, calcium carbonate</t>
    </r>
  </si>
  <si>
    <r>
      <t>1.72 kg CaCO</t>
    </r>
    <r>
      <rPr>
        <vertAlign val="subscript"/>
        <sz val="8"/>
        <color rgb="FF000000"/>
        <rFont val="Calibri"/>
        <family val="2"/>
      </rPr>
      <t>3</t>
    </r>
    <r>
      <rPr>
        <sz val="8"/>
        <color rgb="FF000000"/>
        <rFont val="Calibri"/>
        <family val="2"/>
      </rPr>
      <t>/ ton SS</t>
    </r>
  </si>
  <si>
    <t>Chemicals: Active carbon</t>
  </si>
  <si>
    <t xml:space="preserve">0.603 kg active carbon/ton SS </t>
  </si>
  <si>
    <t>Data from 2016*1.084 [12]</t>
  </si>
  <si>
    <t>distance = 600 km; Production locations of chemicals and polymers assumed to be Germany</t>
  </si>
  <si>
    <t>Heat production (export)</t>
  </si>
  <si>
    <t xml:space="preserve">Heat exported in 2016*1.084 considering the only incineration of internal sludge and excluding external sludge [10] </t>
  </si>
  <si>
    <t xml:space="preserve">Flue gas flow </t>
  </si>
  <si>
    <r>
      <t>Nm</t>
    </r>
    <r>
      <rPr>
        <vertAlign val="superscript"/>
        <sz val="8"/>
        <color rgb="FF000000"/>
        <rFont val="Calibri"/>
        <family val="2"/>
      </rPr>
      <t>3</t>
    </r>
  </si>
  <si>
    <t>Flue gas data were provided by the wastewater operator for the year 2016. Data for 2025 were upscaled from 2016 by using the 1.084 factor. [15]</t>
  </si>
  <si>
    <t xml:space="preserve">CO </t>
  </si>
  <si>
    <t>kg</t>
  </si>
  <si>
    <r>
      <t>1.5 mg/Nm</t>
    </r>
    <r>
      <rPr>
        <vertAlign val="superscript"/>
        <sz val="8"/>
        <color rgb="FF000000"/>
        <rFont val="Calibri"/>
        <family val="2"/>
      </rPr>
      <t>3</t>
    </r>
  </si>
  <si>
    <r>
      <t>SO</t>
    </r>
    <r>
      <rPr>
        <vertAlign val="subscript"/>
        <sz val="8"/>
        <color rgb="FF000000"/>
        <rFont val="Calibri"/>
        <family val="2"/>
      </rPr>
      <t>2</t>
    </r>
    <r>
      <rPr>
        <sz val="8"/>
        <color rgb="FF000000"/>
        <rFont val="Calibri"/>
        <family val="2"/>
      </rPr>
      <t xml:space="preserve"> </t>
    </r>
  </si>
  <si>
    <r>
      <t>20.2 mg/Nm</t>
    </r>
    <r>
      <rPr>
        <vertAlign val="superscript"/>
        <sz val="8"/>
        <color rgb="FF000000"/>
        <rFont val="Calibri"/>
        <family val="2"/>
      </rPr>
      <t>3</t>
    </r>
  </si>
  <si>
    <t xml:space="preserve">NOx </t>
  </si>
  <si>
    <r>
      <t>45.8 mg/Nm</t>
    </r>
    <r>
      <rPr>
        <vertAlign val="superscript"/>
        <sz val="8"/>
        <color rgb="FF000000"/>
        <rFont val="Calibri"/>
        <family val="2"/>
      </rPr>
      <t>3</t>
    </r>
  </si>
  <si>
    <r>
      <t>NH</t>
    </r>
    <r>
      <rPr>
        <vertAlign val="subscript"/>
        <sz val="8"/>
        <color rgb="FF000000"/>
        <rFont val="Calibri"/>
        <family val="2"/>
      </rPr>
      <t>4</t>
    </r>
  </si>
  <si>
    <r>
      <t>4.3 mg/Nm</t>
    </r>
    <r>
      <rPr>
        <vertAlign val="superscript"/>
        <sz val="8"/>
        <color rgb="FF000000"/>
        <rFont val="Calibri"/>
        <family val="2"/>
      </rPr>
      <t>3</t>
    </r>
  </si>
  <si>
    <t xml:space="preserve">Partikler </t>
  </si>
  <si>
    <r>
      <t>0.04 mg/Nm</t>
    </r>
    <r>
      <rPr>
        <vertAlign val="superscript"/>
        <sz val="8"/>
        <color rgb="FF000000"/>
        <rFont val="Calibri"/>
        <family val="2"/>
      </rPr>
      <t>3</t>
    </r>
  </si>
  <si>
    <t>Carbon dioxide</t>
  </si>
  <si>
    <t>Process type</t>
  </si>
  <si>
    <t>Fuel Oil (Light) in Industry Burner (prod + comb), 1-100MW, DK, 1990 [kg]</t>
  </si>
  <si>
    <t>Estimated Danish electricity mix, 2025 [kWh]</t>
  </si>
  <si>
    <t>sodium hydroxide, without water, in 50% solution state,chlor-alkali electrolysis, diaphragm cell,RER [kg]</t>
  </si>
  <si>
    <t>calcium carbonate, precipitated,calcium carbonate production, precipitated,RER [kg]</t>
  </si>
  <si>
    <t>activated carbon, granular,activated carbon production, granular from hard coal,RER [kg]</t>
  </si>
  <si>
    <t>Truck, 20t-26t, Euro4, highway [kg.km]</t>
  </si>
  <si>
    <t>Estimated Danish district heating mix, 2025 [MJ]</t>
  </si>
  <si>
    <t> Elementary exchange</t>
  </si>
  <si>
    <t xml:space="preserve">kg active carbon/ton SS </t>
  </si>
  <si>
    <t>kg CaCO3/ ton SS</t>
  </si>
  <si>
    <t>kg NaOH (50%)/ton SS</t>
  </si>
  <si>
    <t>0.603 kg active carbon/ton SS. Data from 2016*1.084 [12].</t>
  </si>
  <si>
    <t>Chemicals: CaCO3, calcium carbonate</t>
  </si>
  <si>
    <t>Emissions from flue gas</t>
  </si>
  <si>
    <r>
      <t>SO</t>
    </r>
    <r>
      <rPr>
        <b/>
        <vertAlign val="subscript"/>
        <sz val="8"/>
        <color rgb="FF000000"/>
        <rFont val="Calibri"/>
        <family val="2"/>
      </rPr>
      <t>2</t>
    </r>
    <r>
      <rPr>
        <b/>
        <sz val="8"/>
        <color rgb="FF000000"/>
        <rFont val="Calibri"/>
        <family val="2"/>
      </rPr>
      <t xml:space="preserve"> </t>
    </r>
  </si>
  <si>
    <r>
      <t>NH</t>
    </r>
    <r>
      <rPr>
        <b/>
        <vertAlign val="subscript"/>
        <sz val="8"/>
        <color rgb="FF000000"/>
        <rFont val="Calibri"/>
        <family val="2"/>
      </rPr>
      <t>4</t>
    </r>
  </si>
  <si>
    <t xml:space="preserve"> mg/Nm3</t>
  </si>
  <si>
    <t>Heat deficit (supply of heat to the plant)</t>
  </si>
  <si>
    <t>Capacity plant</t>
  </si>
  <si>
    <t>kg/h</t>
  </si>
  <si>
    <t>TS content of 23%</t>
  </si>
  <si>
    <t>P</t>
  </si>
  <si>
    <t>N</t>
  </si>
  <si>
    <t>C</t>
  </si>
  <si>
    <t xml:space="preserve">Total Nitrogen </t>
  </si>
  <si>
    <t xml:space="preserve">A0-a </t>
  </si>
  <si>
    <t xml:space="preserve">A0-b </t>
  </si>
  <si>
    <t xml:space="preserve">A1 </t>
  </si>
  <si>
    <t xml:space="preserve">A2 </t>
  </si>
  <si>
    <t>Pyrolysis - Condensate</t>
  </si>
  <si>
    <t>Pyrolysis - Biochar/Activated carbon</t>
  </si>
  <si>
    <t>Flue gas from pyrolysis/incineration</t>
  </si>
  <si>
    <t>Storage prior land application - air emissions</t>
  </si>
  <si>
    <t>Field application/landfilling</t>
  </si>
  <si>
    <t xml:space="preserve">- Air emissions from use on land </t>
  </si>
  <si>
    <t>- Leaching &amp; runoff</t>
  </si>
  <si>
    <r>
      <t xml:space="preserve">- </t>
    </r>
    <r>
      <rPr>
        <sz val="11"/>
        <color rgb="FF000000"/>
        <rFont val="Times New Roman"/>
        <family val="1"/>
      </rPr>
      <t>Plant uptake</t>
    </r>
  </si>
  <si>
    <r>
      <t xml:space="preserve">- </t>
    </r>
    <r>
      <rPr>
        <sz val="11"/>
        <color rgb="FF000000"/>
        <rFont val="Times New Roman"/>
        <family val="1"/>
      </rPr>
      <t xml:space="preserve">Soil storage </t>
    </r>
  </si>
  <si>
    <r>
      <t>Table</t>
    </r>
    <r>
      <rPr>
        <i/>
        <sz val="11"/>
        <color rgb="FF44546A"/>
        <rFont val="Calibri"/>
        <family val="2"/>
      </rPr>
      <t xml:space="preserve"> </t>
    </r>
    <r>
      <rPr>
        <b/>
        <sz val="11"/>
        <color rgb="FF000000"/>
        <rFont val="Times New Roman"/>
        <family val="1"/>
      </rPr>
      <t>SI-4.</t>
    </r>
    <r>
      <rPr>
        <i/>
        <sz val="11"/>
        <color rgb="FF44546A"/>
        <rFont val="Calibri"/>
        <family val="2"/>
      </rPr>
      <t xml:space="preserve"> </t>
    </r>
    <r>
      <rPr>
        <sz val="11"/>
        <color rgb="FF000000"/>
        <rFont val="Times New Roman"/>
        <family val="1"/>
      </rPr>
      <t xml:space="preserve">Fate of N in the different alternatives. Information for incineration are from [14], [15] [16] </t>
    </r>
  </si>
  <si>
    <t xml:space="preserve">Total Phosphorus </t>
  </si>
  <si>
    <t>Incineration sludge ashes</t>
  </si>
  <si>
    <t>- Plant uptake</t>
  </si>
  <si>
    <t xml:space="preserve">- Soil storage </t>
  </si>
  <si>
    <t xml:space="preserve">Mercury (Hg) </t>
  </si>
  <si>
    <t>Pyrolysis gas/Flue gas</t>
  </si>
  <si>
    <t xml:space="preserve">Total Carbon </t>
  </si>
  <si>
    <t xml:space="preserve">Table SI-5. Fate of total P in the different alternatives. Information for incineration are from [14], [15] [16] </t>
  </si>
  <si>
    <t xml:space="preserve">Table SI-6. Fate of mercury in the different alternatives. Information for incineration are from [14], [15] [16] </t>
  </si>
  <si>
    <t>Table SI-7. Fate of total carbon in the different alternatives. Information for incineration are from [14], [15] [16]</t>
  </si>
  <si>
    <t>The flow of nutrients in the system setup</t>
  </si>
  <si>
    <t>Data on dewatering is not found in Marias article (comparison of sludge-techs). Outside of system boundaries</t>
  </si>
  <si>
    <r>
      <t>Table SI-1.</t>
    </r>
    <r>
      <rPr>
        <sz val="11"/>
        <color rgb="FF000000"/>
        <rFont val="Times New Roman"/>
        <family val="1"/>
      </rPr>
      <t xml:space="preserve"> System characteristics of the Helsinge sludge treatment reed bed system (STRB).</t>
    </r>
  </si>
  <si>
    <t>Helsinge STRB system – System Characteristics</t>
  </si>
  <si>
    <t>Population equivalent (PE)</t>
  </si>
  <si>
    <t>Number of beds</t>
  </si>
  <si>
    <r>
      <t>Capacity (tons ds y</t>
    </r>
    <r>
      <rPr>
        <vertAlign val="superscript"/>
        <sz val="10"/>
        <color rgb="FF000000"/>
        <rFont val="Times New Roman"/>
        <family val="1"/>
      </rPr>
      <t>-1</t>
    </r>
    <r>
      <rPr>
        <sz val="10"/>
        <color rgb="FF000000"/>
        <rFont val="Times New Roman"/>
        <family val="1"/>
      </rPr>
      <t>)</t>
    </r>
  </si>
  <si>
    <r>
      <t>Total bed area (m</t>
    </r>
    <r>
      <rPr>
        <vertAlign val="superscript"/>
        <sz val="10"/>
        <color rgb="FF000000"/>
        <rFont val="Times New Roman"/>
        <family val="1"/>
      </rPr>
      <t>2</t>
    </r>
    <r>
      <rPr>
        <sz val="10"/>
        <color rgb="FF000000"/>
        <rFont val="Times New Roman"/>
        <family val="1"/>
      </rPr>
      <t>)</t>
    </r>
  </si>
  <si>
    <r>
      <t>Individual bed area (m</t>
    </r>
    <r>
      <rPr>
        <vertAlign val="superscript"/>
        <sz val="10"/>
        <color rgb="FF000000"/>
        <rFont val="Times New Roman"/>
        <family val="1"/>
      </rPr>
      <t>2</t>
    </r>
    <r>
      <rPr>
        <sz val="10"/>
        <color rgb="FF000000"/>
        <rFont val="Times New Roman"/>
        <family val="1"/>
      </rPr>
      <t>)</t>
    </r>
  </si>
  <si>
    <r>
      <t>Loading rate - Dim. (kg ds m</t>
    </r>
    <r>
      <rPr>
        <vertAlign val="superscript"/>
        <sz val="10"/>
        <color rgb="FF000000"/>
        <rFont val="Times New Roman"/>
        <family val="1"/>
      </rPr>
      <t>-2</t>
    </r>
    <r>
      <rPr>
        <sz val="10"/>
        <color rgb="FF000000"/>
        <rFont val="Times New Roman"/>
        <family val="1"/>
      </rPr>
      <t xml:space="preserve"> y</t>
    </r>
    <r>
      <rPr>
        <vertAlign val="superscript"/>
        <sz val="10"/>
        <color rgb="FF000000"/>
        <rFont val="Times New Roman"/>
        <family val="1"/>
      </rPr>
      <t>-1</t>
    </r>
    <r>
      <rPr>
        <sz val="10"/>
        <color rgb="FF000000"/>
        <rFont val="Times New Roman"/>
        <family val="1"/>
      </rPr>
      <t>)</t>
    </r>
  </si>
  <si>
    <r>
      <t>Loading rate - real (kg ds m</t>
    </r>
    <r>
      <rPr>
        <vertAlign val="superscript"/>
        <sz val="10"/>
        <color rgb="FF000000"/>
        <rFont val="Times New Roman"/>
        <family val="1"/>
      </rPr>
      <t>-2</t>
    </r>
    <r>
      <rPr>
        <sz val="10"/>
        <color rgb="FF000000"/>
        <rFont val="Times New Roman"/>
        <family val="1"/>
      </rPr>
      <t xml:space="preserve"> y</t>
    </r>
    <r>
      <rPr>
        <vertAlign val="superscript"/>
        <sz val="10"/>
        <color rgb="FF000000"/>
        <rFont val="Times New Roman"/>
        <family val="1"/>
      </rPr>
      <t>-1</t>
    </r>
    <r>
      <rPr>
        <sz val="10"/>
        <color rgb="FF000000"/>
        <rFont val="Times New Roman"/>
        <family val="1"/>
      </rPr>
      <t xml:space="preserve">) </t>
    </r>
  </si>
  <si>
    <t>Loading/resting (days)</t>
  </si>
  <si>
    <t>4-7/44 -75</t>
  </si>
  <si>
    <t>Sludge batches per day in loading period</t>
  </si>
  <si>
    <t>External process</t>
  </si>
  <si>
    <t>Data source</t>
  </si>
  <si>
    <t xml:space="preserve">Process </t>
  </si>
  <si>
    <t xml:space="preserve">Electricity </t>
  </si>
  <si>
    <t>EASETECH database</t>
  </si>
  <si>
    <t>Marginal Electricity Consumption incl. Fuel Production, Coal, Energy Quality, DK, kWh, 2006</t>
  </si>
  <si>
    <t>Production of 1 kWh electricity</t>
  </si>
  <si>
    <t>Polymer coagulants</t>
  </si>
  <si>
    <t>Ecoinvent v 3.3</t>
  </si>
  <si>
    <t>Production of polyacrylamide, global, 2012</t>
  </si>
  <si>
    <t>Polyacrylamide production</t>
  </si>
  <si>
    <t>Excavator</t>
  </si>
  <si>
    <t>Excavator, rubber tire, combustion 1L of diesel, 2003/2011</t>
  </si>
  <si>
    <t>Excavation activity</t>
  </si>
  <si>
    <t>Skid steer excavator</t>
  </si>
  <si>
    <t>Mini excavator, combustion 1L of diesel, 2003/2011</t>
  </si>
  <si>
    <r>
      <t>Truck</t>
    </r>
    <r>
      <rPr>
        <sz val="10"/>
        <color rgb="FF000000"/>
        <rFont val="Times New Roman"/>
        <family val="1"/>
      </rPr>
      <t>,</t>
    </r>
    <r>
      <rPr>
        <b/>
        <sz val="10"/>
        <color rgb="FF000000"/>
        <rFont val="Times New Roman"/>
        <family val="1"/>
      </rPr>
      <t xml:space="preserve"> </t>
    </r>
    <r>
      <rPr>
        <sz val="10"/>
        <color rgb="FF000000"/>
        <rFont val="Times New Roman"/>
        <family val="1"/>
      </rPr>
      <t>7.5t-12t</t>
    </r>
  </si>
  <si>
    <t>Moving 1 kg of goods 1 km in a truck with a weight of 7.5t-12t.</t>
  </si>
  <si>
    <t>Transport, internal at WWTP</t>
  </si>
  <si>
    <r>
      <t>Truck</t>
    </r>
    <r>
      <rPr>
        <sz val="10"/>
        <color rgb="FF000000"/>
        <rFont val="Times New Roman"/>
        <family val="1"/>
      </rPr>
      <t>,</t>
    </r>
    <r>
      <rPr>
        <b/>
        <sz val="10"/>
        <color rgb="FF000000"/>
        <rFont val="Times New Roman"/>
        <family val="1"/>
      </rPr>
      <t xml:space="preserve"> </t>
    </r>
    <r>
      <rPr>
        <sz val="10"/>
        <color rgb="FF000000"/>
        <rFont val="Times New Roman"/>
        <family val="1"/>
      </rPr>
      <t>14t-20t</t>
    </r>
  </si>
  <si>
    <t>Moving 1 kg of goods 1 km in a truck with a weight of 14t-20t.</t>
  </si>
  <si>
    <t>Transport, regional</t>
  </si>
  <si>
    <t>Land application</t>
  </si>
  <si>
    <t>Farm tractor, combustion 1L of diesel, 2003/2011</t>
  </si>
  <si>
    <t xml:space="preserve">Table SI-2. Choice of background information. </t>
  </si>
  <si>
    <r>
      <t>Table SI-3</t>
    </r>
    <r>
      <rPr>
        <sz val="11"/>
        <color rgb="FF000000"/>
        <rFont val="Times New Roman"/>
        <family val="1"/>
      </rPr>
      <t>. Consumption data for the scenarios included in the life cycle assessment (LCA).</t>
    </r>
  </si>
  <si>
    <t>S-CEN: Dewatering on a centrifuge and storage</t>
  </si>
  <si>
    <t>Daily operation</t>
  </si>
  <si>
    <t>Amount</t>
  </si>
  <si>
    <t>Electricity</t>
  </si>
  <si>
    <r>
      <t>kWh · kg WW</t>
    </r>
    <r>
      <rPr>
        <vertAlign val="superscript"/>
        <sz val="10"/>
        <color rgb="FF000000"/>
        <rFont val="Times New Roman"/>
        <family val="1"/>
      </rPr>
      <t>-1</t>
    </r>
  </si>
  <si>
    <t>Polymer</t>
  </si>
  <si>
    <r>
      <t>kg · kg WW</t>
    </r>
    <r>
      <rPr>
        <vertAlign val="superscript"/>
        <sz val="10"/>
        <color rgb="FF000000"/>
        <rFont val="Times New Roman"/>
        <family val="1"/>
      </rPr>
      <t>-1</t>
    </r>
  </si>
  <si>
    <t xml:space="preserve">Transfer to external storage </t>
  </si>
  <si>
    <t>Fuel, truck (14t-20t)</t>
  </si>
  <si>
    <r>
      <t>kg · km</t>
    </r>
    <r>
      <rPr>
        <vertAlign val="superscript"/>
        <sz val="10"/>
        <color rgb="FF000000"/>
        <rFont val="Times New Roman"/>
        <family val="1"/>
      </rPr>
      <t xml:space="preserve">-1 </t>
    </r>
    <r>
      <rPr>
        <sz val="10"/>
        <color rgb="FF000000"/>
        <rFont val="Times New Roman"/>
        <family val="1"/>
      </rPr>
      <t>· kg WW</t>
    </r>
    <r>
      <rPr>
        <vertAlign val="superscript"/>
        <sz val="10"/>
        <color rgb="FF000000"/>
        <rFont val="Times New Roman"/>
        <family val="1"/>
      </rPr>
      <t>-1</t>
    </r>
  </si>
  <si>
    <t>Transfer from external storage to land application site</t>
  </si>
  <si>
    <t>Fuel, excavator (mini)</t>
  </si>
  <si>
    <r>
      <t>L · kg WW</t>
    </r>
    <r>
      <rPr>
        <vertAlign val="superscript"/>
        <sz val="10"/>
        <color rgb="FF000000"/>
        <rFont val="Times New Roman"/>
        <family val="1"/>
      </rPr>
      <t>-1</t>
    </r>
  </si>
  <si>
    <t>Fuel, tractor</t>
  </si>
  <si>
    <r>
      <t>S-STRB: Treatment in a sludge treatment reed bed system</t>
    </r>
    <r>
      <rPr>
        <sz val="8"/>
        <color theme="1"/>
        <rFont val="Calibri"/>
        <family val="2"/>
      </rPr>
      <t> </t>
    </r>
  </si>
  <si>
    <t>Transfer from STRB system to land application site</t>
  </si>
  <si>
    <t>Fuel, excavator (rubber tire)</t>
  </si>
  <si>
    <t>S-SPA: Treatment in a sludge treatment reed bed system and post-treatment in a stockpile area</t>
  </si>
  <si>
    <t>Transfer from STRB system to stockpile area</t>
  </si>
  <si>
    <r>
      <t>kg·km</t>
    </r>
    <r>
      <rPr>
        <vertAlign val="superscript"/>
        <sz val="10"/>
        <color rgb="FF000000"/>
        <rFont val="Times New Roman"/>
        <family val="1"/>
      </rPr>
      <t>-1</t>
    </r>
    <r>
      <rPr>
        <sz val="10"/>
        <color rgb="FF000000"/>
        <rFont val="Times New Roman"/>
        <family val="1"/>
      </rPr>
      <t>·kg WW</t>
    </r>
    <r>
      <rPr>
        <vertAlign val="superscript"/>
        <sz val="10"/>
        <color rgb="FF000000"/>
        <rFont val="Times New Roman"/>
        <family val="1"/>
      </rPr>
      <t>-1</t>
    </r>
  </si>
  <si>
    <t>Transfer from stockpile area to land application site</t>
  </si>
  <si>
    <t>Note: WW is wet weight</t>
  </si>
  <si>
    <r>
      <t> </t>
    </r>
    <r>
      <rPr>
        <sz val="10"/>
        <color theme="1"/>
        <rFont val="Calibri"/>
        <family val="2"/>
      </rPr>
      <t>Data for daglig operationer.</t>
    </r>
  </si>
  <si>
    <t>a) On-site storage - 1 week</t>
  </si>
  <si>
    <r>
      <t>mg·m</t>
    </r>
    <r>
      <rPr>
        <vertAlign val="superscript"/>
        <sz val="10"/>
        <color rgb="FF000000"/>
        <rFont val="Times New Roman"/>
        <family val="1"/>
      </rPr>
      <t>-3</t>
    </r>
    <r>
      <rPr>
        <sz val="10"/>
        <color rgb="FF000000"/>
        <rFont val="Times New Roman"/>
        <family val="1"/>
      </rPr>
      <t>·day</t>
    </r>
    <r>
      <rPr>
        <vertAlign val="superscript"/>
        <sz val="10"/>
        <color rgb="FF000000"/>
        <rFont val="Times New Roman"/>
        <family val="1"/>
      </rPr>
      <t>-1</t>
    </r>
  </si>
  <si>
    <t>% of total C emission</t>
  </si>
  <si>
    <r>
      <t>CO</t>
    </r>
    <r>
      <rPr>
        <vertAlign val="subscript"/>
        <sz val="10"/>
        <color rgb="FF000000"/>
        <rFont val="Times New Roman"/>
        <family val="1"/>
      </rPr>
      <t>2</t>
    </r>
    <r>
      <rPr>
        <sz val="10"/>
        <color rgb="FF000000"/>
        <rFont val="Times New Roman"/>
        <family val="1"/>
      </rPr>
      <t>-C</t>
    </r>
  </si>
  <si>
    <r>
      <t>CH</t>
    </r>
    <r>
      <rPr>
        <vertAlign val="subscript"/>
        <sz val="10"/>
        <color rgb="FF000000"/>
        <rFont val="Times New Roman"/>
        <family val="1"/>
      </rPr>
      <t>4</t>
    </r>
    <r>
      <rPr>
        <sz val="10"/>
        <color rgb="FF000000"/>
        <rFont val="Times New Roman"/>
        <family val="1"/>
      </rPr>
      <t>-C</t>
    </r>
  </si>
  <si>
    <t>% of total N emission</t>
  </si>
  <si>
    <r>
      <t>N</t>
    </r>
    <r>
      <rPr>
        <vertAlign val="subscript"/>
        <sz val="10"/>
        <color rgb="FF000000"/>
        <rFont val="Times New Roman"/>
        <family val="1"/>
      </rPr>
      <t>2</t>
    </r>
    <r>
      <rPr>
        <sz val="10"/>
        <color rgb="FF000000"/>
        <rFont val="Times New Roman"/>
        <family val="1"/>
      </rPr>
      <t>-N</t>
    </r>
  </si>
  <si>
    <r>
      <t>N</t>
    </r>
    <r>
      <rPr>
        <vertAlign val="subscript"/>
        <sz val="10"/>
        <color rgb="FF000000"/>
        <rFont val="Times New Roman"/>
        <family val="1"/>
      </rPr>
      <t>2</t>
    </r>
    <r>
      <rPr>
        <sz val="10"/>
        <color rgb="FF000000"/>
        <rFont val="Times New Roman"/>
        <family val="1"/>
      </rPr>
      <t>O-N</t>
    </r>
  </si>
  <si>
    <r>
      <t>NH</t>
    </r>
    <r>
      <rPr>
        <vertAlign val="subscript"/>
        <sz val="10"/>
        <color rgb="FF000000"/>
        <rFont val="Times New Roman"/>
        <family val="1"/>
      </rPr>
      <t>3</t>
    </r>
    <r>
      <rPr>
        <sz val="10"/>
        <color rgb="FF000000"/>
        <rFont val="Times New Roman"/>
        <family val="1"/>
      </rPr>
      <t>-N</t>
    </r>
  </si>
  <si>
    <t>b) External storage – 6 months</t>
  </si>
  <si>
    <t>Table SI-4. Average daily gas emission rates based on gas emission rates from the storage of SAS dewatered on a centrifuge.</t>
  </si>
  <si>
    <t xml:space="preserve">xcbn  </t>
  </si>
  <si>
    <r>
      <t>Table SI-5.</t>
    </r>
    <r>
      <rPr>
        <sz val="8"/>
        <color theme="1"/>
        <rFont val="Calibri"/>
        <family val="2"/>
      </rPr>
      <t> </t>
    </r>
    <r>
      <rPr>
        <b/>
        <sz val="11"/>
        <color rgb="FF000000"/>
        <rFont val="Times New Roman"/>
        <family val="1"/>
      </rPr>
      <t xml:space="preserve"> </t>
    </r>
    <r>
      <rPr>
        <sz val="11"/>
        <color rgb="FF000000"/>
        <rFont val="Times New Roman"/>
        <family val="1"/>
      </rPr>
      <t>Shares of substances allocated to reject water, mineralisation (Mineral.), evaporation (Evap.) and dewatered sludge during dewatering on a centrifuge and subsequent storage. Within each unit process (a, b and c), the flow of each substance sums up to 100%.</t>
    </r>
  </si>
  <si>
    <t>a) Centrifuging</t>
  </si>
  <si>
    <t>b) On-site Storage (1 week)</t>
  </si>
  <si>
    <t>c) External Storage (1 year)</t>
  </si>
  <si>
    <t>Reject water</t>
  </si>
  <si>
    <t>Dewatered sludge</t>
  </si>
  <si>
    <t>Mineral.</t>
  </si>
  <si>
    <t>Evap.</t>
  </si>
  <si>
    <t>Water</t>
  </si>
  <si>
    <t>TS</t>
  </si>
  <si>
    <t>VS</t>
  </si>
  <si>
    <t>TC</t>
  </si>
  <si>
    <t>TN</t>
  </si>
  <si>
    <t>K</t>
  </si>
  <si>
    <r>
      <t>NH</t>
    </r>
    <r>
      <rPr>
        <vertAlign val="subscript"/>
        <sz val="10"/>
        <color rgb="FF000000"/>
        <rFont val="Times New Roman"/>
        <family val="1"/>
      </rPr>
      <t>4</t>
    </r>
    <r>
      <rPr>
        <vertAlign val="superscript"/>
        <sz val="10"/>
        <color rgb="FF000000"/>
        <rFont val="Times New Roman"/>
        <family val="1"/>
      </rPr>
      <t>+</t>
    </r>
    <r>
      <rPr>
        <sz val="10"/>
        <color rgb="FF000000"/>
        <rFont val="Times New Roman"/>
        <family val="1"/>
      </rPr>
      <t>-N</t>
    </r>
  </si>
  <si>
    <r>
      <t>NO</t>
    </r>
    <r>
      <rPr>
        <vertAlign val="subscript"/>
        <sz val="10"/>
        <color rgb="FF000000"/>
        <rFont val="Times New Roman"/>
        <family val="1"/>
      </rPr>
      <t>3</t>
    </r>
    <r>
      <rPr>
        <vertAlign val="superscript"/>
        <sz val="10"/>
        <color rgb="FF000000"/>
        <rFont val="Times New Roman"/>
        <family val="1"/>
      </rPr>
      <t>-</t>
    </r>
    <r>
      <rPr>
        <sz val="10"/>
        <color rgb="FF000000"/>
        <rFont val="Times New Roman"/>
        <family val="1"/>
      </rPr>
      <t>-N</t>
    </r>
  </si>
  <si>
    <t>Mg</t>
  </si>
  <si>
    <t>Ca</t>
  </si>
  <si>
    <t>Cr</t>
  </si>
  <si>
    <t>Mn</t>
  </si>
  <si>
    <t>Fe</t>
  </si>
  <si>
    <t>Zn</t>
  </si>
  <si>
    <t>Ni</t>
  </si>
  <si>
    <t>Cu</t>
  </si>
  <si>
    <t>Cd</t>
  </si>
  <si>
    <t>Pb</t>
  </si>
  <si>
    <r>
      <t> </t>
    </r>
    <r>
      <rPr>
        <sz val="10"/>
        <color theme="1"/>
        <rFont val="Calibri"/>
        <family val="2"/>
      </rPr>
      <t>TAN SI-5:</t>
    </r>
  </si>
  <si>
    <t>- Baseline scenario.</t>
  </si>
  <si>
    <t>- Shares of substances allocated to reject water, mineralisation, evapotranspiration and dewatered sludge.</t>
  </si>
  <si>
    <t>- Centrifugation, storage (1w), Storage (1y).</t>
  </si>
  <si>
    <r>
      <t>Table SI-6.</t>
    </r>
    <r>
      <rPr>
        <sz val="11"/>
        <color rgb="FF000000"/>
        <rFont val="Times New Roman"/>
        <family val="1"/>
      </rPr>
      <t xml:space="preserve"> </t>
    </r>
    <r>
      <rPr>
        <sz val="8"/>
        <color theme="1"/>
        <rFont val="Calibri"/>
        <family val="2"/>
      </rPr>
      <t> </t>
    </r>
    <r>
      <rPr>
        <sz val="11"/>
        <color rgb="FF000000"/>
        <rFont val="Times New Roman"/>
        <family val="1"/>
      </rPr>
      <t xml:space="preserve">Average daily gas emission rates based on gas emission rates from treatment in an STRB system and solar drying at a </t>
    </r>
    <r>
      <rPr>
        <sz val="12"/>
        <color rgb="FF000000"/>
        <rFont val="Times New Roman"/>
        <family val="1"/>
      </rPr>
      <t>stockpile area</t>
    </r>
    <r>
      <rPr>
        <sz val="11"/>
        <color rgb="FF000000"/>
        <rFont val="Times New Roman"/>
        <family val="1"/>
      </rPr>
      <t>.</t>
    </r>
  </si>
  <si>
    <t>a) STRB system- 12 years</t>
  </si>
  <si>
    <r>
      <t>N</t>
    </r>
    <r>
      <rPr>
        <vertAlign val="subscript"/>
        <sz val="10"/>
        <color rgb="FF000000"/>
        <rFont val="Times New Roman"/>
        <family val="1"/>
      </rPr>
      <t>2</t>
    </r>
    <r>
      <rPr>
        <sz val="10"/>
        <color rgb="FF000000"/>
        <rFont val="Times New Roman"/>
        <family val="1"/>
      </rPr>
      <t>o-N</t>
    </r>
  </si>
  <si>
    <t>b) Stockpile area - 4 months</t>
  </si>
  <si>
    <r>
      <t>N</t>
    </r>
    <r>
      <rPr>
        <vertAlign val="subscript"/>
        <sz val="10"/>
        <color rgb="FF000000"/>
        <rFont val="Times New Roman"/>
        <family val="1"/>
      </rPr>
      <t>2o</t>
    </r>
    <r>
      <rPr>
        <sz val="10"/>
        <color rgb="FF000000"/>
        <rFont val="Times New Roman"/>
        <family val="1"/>
      </rPr>
      <t>-N</t>
    </r>
  </si>
  <si>
    <r>
      <t>*The gas emission rates reflect the emissions pr. m</t>
    </r>
    <r>
      <rPr>
        <vertAlign val="superscript"/>
        <sz val="9"/>
        <color rgb="FF000000"/>
        <rFont val="Times New Roman"/>
        <family val="1"/>
      </rPr>
      <t>3</t>
    </r>
    <r>
      <rPr>
        <sz val="9"/>
        <color rgb="FF000000"/>
        <rFont val="Times New Roman"/>
        <family val="1"/>
      </rPr>
      <t xml:space="preserve"> stored dewatered sludge. To obtain the emissions rates pr. m</t>
    </r>
    <r>
      <rPr>
        <vertAlign val="superscript"/>
        <sz val="9"/>
        <color rgb="FF000000"/>
        <rFont val="Times New Roman"/>
        <family val="1"/>
      </rPr>
      <t xml:space="preserve">2 </t>
    </r>
    <r>
      <rPr>
        <sz val="9"/>
        <color rgb="FF000000"/>
        <rFont val="Times New Roman"/>
        <family val="1"/>
      </rPr>
      <t>of surface area for sludge residue accumulated in the STRB system the values must be multiplied by 1.15, as this was the average height of the accumulated sludge residue during the measuring activities. To obtain emission rates pr. m</t>
    </r>
    <r>
      <rPr>
        <vertAlign val="superscript"/>
        <sz val="9"/>
        <color rgb="FF000000"/>
        <rFont val="Times New Roman"/>
        <family val="1"/>
      </rPr>
      <t xml:space="preserve">2 </t>
    </r>
    <r>
      <rPr>
        <sz val="9"/>
        <color rgb="FF000000"/>
        <rFont val="Times New Roman"/>
        <family val="1"/>
      </rPr>
      <t>of surface</t>
    </r>
    <r>
      <rPr>
        <vertAlign val="superscript"/>
        <sz val="9"/>
        <color rgb="FF000000"/>
        <rFont val="Times New Roman"/>
        <family val="1"/>
      </rPr>
      <t xml:space="preserve"> </t>
    </r>
    <r>
      <rPr>
        <sz val="9"/>
        <color rgb="FF000000"/>
        <rFont val="Times New Roman"/>
        <family val="1"/>
      </rPr>
      <t>for sludge residue undergoing solar drying at the stockpile area the values must be multiplied by 1.8, as this was the average height of the sludge residue during the measuring activity.</t>
    </r>
  </si>
  <si>
    <r>
      <t> </t>
    </r>
    <r>
      <rPr>
        <sz val="10"/>
        <color theme="1"/>
        <rFont val="Calibri"/>
        <family val="2"/>
      </rPr>
      <t>The gas emissions from the reed bed system.</t>
    </r>
  </si>
  <si>
    <t>a) After STRB</t>
  </si>
  <si>
    <r>
      <t>b) S</t>
    </r>
    <r>
      <rPr>
        <sz val="8"/>
        <color rgb="FF000000"/>
        <rFont val="Times New Roman"/>
        <family val="1"/>
      </rPr>
      <t>tockpile area</t>
    </r>
  </si>
  <si>
    <t xml:space="preserve">Reject water </t>
  </si>
  <si>
    <t>Evapotranspiration</t>
  </si>
  <si>
    <t>Mineralisation</t>
  </si>
  <si>
    <t>Sludge residue</t>
  </si>
  <si>
    <t>Evaporation</t>
  </si>
  <si>
    <r>
      <t> </t>
    </r>
    <r>
      <rPr>
        <sz val="10"/>
        <color theme="1"/>
        <rFont val="Calibri"/>
        <family val="2"/>
      </rPr>
      <t>Table SI-7:</t>
    </r>
  </si>
  <si>
    <t>Shares of substances allocated to reject water, mineralisation, evapotranspiration, and dewatered sludge.</t>
  </si>
  <si>
    <t>STRB and Stockpile area.</t>
  </si>
  <si>
    <t>Table SI-7.  Shares of substances allocated to reject water, mineralisation, evaporation and dewatered sludge during 12 years of treatment in an STRB system and four months of solar drying at a stockpile area. Within each unit process (a and b), the flow of each substance sums up to 100%.</t>
  </si>
  <si>
    <r>
      <t>Table SI-8.</t>
    </r>
    <r>
      <rPr>
        <sz val="8"/>
        <color theme="1"/>
        <rFont val="Calibri"/>
        <family val="2"/>
      </rPr>
      <t> </t>
    </r>
    <r>
      <rPr>
        <b/>
        <sz val="11"/>
        <color rgb="FF000000"/>
        <rFont val="Times New Roman"/>
        <family val="1"/>
      </rPr>
      <t xml:space="preserve"> </t>
    </r>
    <r>
      <rPr>
        <sz val="11"/>
        <color rgb="FF000000"/>
        <rFont val="Times New Roman"/>
        <family val="1"/>
      </rPr>
      <t>Flow of substances in three sludge treatment scenarios: 1) mechanical dewatering on a centrifuge followed by six months of storage (S-CEN), 2) 12 years of treatment in STRB (S-STRB) and 3) 12 years of treatment in STRB, followed by four months of solar drying in a stockpile area covered by a greenhouse roof (S-SPA). Note different weight units.</t>
    </r>
  </si>
  <si>
    <t>Input</t>
  </si>
  <si>
    <t>Reject water - immediately</t>
  </si>
  <si>
    <t>Final sludge product for land application</t>
  </si>
  <si>
    <t>1000 kg of SAS</t>
  </si>
  <si>
    <t>Centrifuge</t>
  </si>
  <si>
    <t>STRB</t>
  </si>
  <si>
    <t>S-CEN</t>
  </si>
  <si>
    <t>S-STRB</t>
  </si>
  <si>
    <t>S-SPA</t>
  </si>
  <si>
    <t>Wet Weight</t>
  </si>
  <si>
    <t xml:space="preserve">Total solid (TS) </t>
  </si>
  <si>
    <t>Volatile solid (VS)</t>
  </si>
  <si>
    <t>Total carbon (TC)</t>
  </si>
  <si>
    <t>Total nitrogen (TN)</t>
  </si>
  <si>
    <t>g</t>
  </si>
  <si>
    <t>mg</t>
  </si>
  <si>
    <r>
      <t> </t>
    </r>
    <r>
      <rPr>
        <sz val="10"/>
        <color theme="1"/>
        <rFont val="Calibri"/>
        <family val="2"/>
      </rPr>
      <t>SBA of different substances with FU of 1 ton.</t>
    </r>
  </si>
  <si>
    <t>Sludge residue type</t>
  </si>
  <si>
    <t>Per</t>
  </si>
  <si>
    <t>Carbon dioxide emission</t>
  </si>
  <si>
    <t>Centrifuge-separated SAS</t>
  </si>
  <si>
    <t>% input C</t>
  </si>
  <si>
    <t>STRB system immediate application</t>
  </si>
  <si>
    <t>STRB system followed by post-treatment at stockpile area</t>
  </si>
  <si>
    <r>
      <t> </t>
    </r>
    <r>
      <rPr>
        <sz val="10"/>
        <color theme="1"/>
        <rFont val="Calibri"/>
        <family val="2"/>
      </rPr>
      <t>Table SI-9: Fate of carbon after applying sludge residues on sandy loam soil.</t>
    </r>
  </si>
  <si>
    <t xml:space="preserve">Table SI-9.  Fate of carbon after applying sludge residues on a sandy loam soil under an average Danish precipitation regime compared to applying mineral fertiliser. </t>
  </si>
  <si>
    <r>
      <t>NH</t>
    </r>
    <r>
      <rPr>
        <b/>
        <vertAlign val="subscript"/>
        <sz val="10"/>
        <color rgb="FF000000"/>
        <rFont val="Times New Roman"/>
        <family val="1"/>
      </rPr>
      <t>3</t>
    </r>
    <r>
      <rPr>
        <b/>
        <sz val="10"/>
        <color rgb="FF000000"/>
        <rFont val="Times New Roman"/>
        <family val="1"/>
      </rPr>
      <t>-N evaporation</t>
    </r>
  </si>
  <si>
    <r>
      <t>N</t>
    </r>
    <r>
      <rPr>
        <b/>
        <vertAlign val="subscript"/>
        <sz val="10"/>
        <color rgb="FF000000"/>
        <rFont val="Times New Roman"/>
        <family val="1"/>
      </rPr>
      <t>2</t>
    </r>
    <r>
      <rPr>
        <b/>
        <sz val="10"/>
        <color rgb="FF000000"/>
        <rFont val="Times New Roman"/>
        <family val="1"/>
      </rPr>
      <t>O-N emission</t>
    </r>
  </si>
  <si>
    <r>
      <t>NO</t>
    </r>
    <r>
      <rPr>
        <b/>
        <vertAlign val="subscript"/>
        <sz val="10"/>
        <color rgb="FF000000"/>
        <rFont val="Times New Roman"/>
        <family val="1"/>
      </rPr>
      <t>3</t>
    </r>
    <r>
      <rPr>
        <b/>
        <vertAlign val="superscript"/>
        <sz val="10"/>
        <color rgb="FF000000"/>
        <rFont val="Times New Roman"/>
        <family val="1"/>
      </rPr>
      <t>-</t>
    </r>
    <r>
      <rPr>
        <b/>
        <sz val="10"/>
        <color rgb="FF000000"/>
        <rFont val="Times New Roman"/>
        <family val="1"/>
      </rPr>
      <t>-N to groundwater</t>
    </r>
  </si>
  <si>
    <r>
      <t>NO</t>
    </r>
    <r>
      <rPr>
        <b/>
        <vertAlign val="subscript"/>
        <sz val="10"/>
        <color rgb="FF000000"/>
        <rFont val="Times New Roman"/>
        <family val="1"/>
      </rPr>
      <t>3</t>
    </r>
    <r>
      <rPr>
        <b/>
        <vertAlign val="superscript"/>
        <sz val="10"/>
        <color rgb="FF000000"/>
        <rFont val="Times New Roman"/>
        <family val="1"/>
      </rPr>
      <t>-</t>
    </r>
    <r>
      <rPr>
        <b/>
        <sz val="10"/>
        <color rgb="FF000000"/>
        <rFont val="Times New Roman"/>
        <family val="1"/>
      </rPr>
      <t>-N to surface</t>
    </r>
  </si>
  <si>
    <t>N crop uptake</t>
  </si>
  <si>
    <t>% input N</t>
  </si>
  <si>
    <r>
      <t> </t>
    </r>
    <r>
      <rPr>
        <sz val="10"/>
        <color theme="1"/>
        <rFont val="Calibri"/>
        <family val="2"/>
      </rPr>
      <t>Table SI-10: Fate of N after application of sludge residues.</t>
    </r>
  </si>
  <si>
    <t>Table SI-10.  Fate of nitrogen after the application of sludge residues on a sandy loam soil under an average Danish precipitation regime compared to applying mineral fertiliser.</t>
  </si>
  <si>
    <t xml:space="preserve">Crop rotation </t>
  </si>
  <si>
    <r>
      <t>P norm (kg P ha</t>
    </r>
    <r>
      <rPr>
        <b/>
        <vertAlign val="superscript"/>
        <sz val="10"/>
        <color rgb="FF000000"/>
        <rFont val="Times New Roman"/>
        <family val="1"/>
      </rPr>
      <t>-1</t>
    </r>
    <r>
      <rPr>
        <b/>
        <sz val="10"/>
        <color rgb="FF000000"/>
        <rFont val="Times New Roman"/>
        <family val="1"/>
      </rPr>
      <t>)</t>
    </r>
  </si>
  <si>
    <t>Spring barley</t>
  </si>
  <si>
    <t>Winter wheat</t>
  </si>
  <si>
    <t>Winter barley</t>
  </si>
  <si>
    <t>Winter rape</t>
  </si>
  <si>
    <t>Average</t>
  </si>
  <si>
    <r>
      <t> </t>
    </r>
    <r>
      <rPr>
        <sz val="10"/>
        <color theme="1"/>
        <rFont val="Calibri"/>
        <family val="2"/>
      </rPr>
      <t>Table SI-11: Fertiliser uptake.</t>
    </r>
  </si>
  <si>
    <t xml:space="preserve">Table SI-11.  Calculation of maximum mineral P fertiliser crop uptake for a 7-year crop rotation. </t>
  </si>
  <si>
    <t>Share of input</t>
  </si>
  <si>
    <t>(%)</t>
  </si>
  <si>
    <t>Mineral P fertiliser substitution factor</t>
  </si>
  <si>
    <t>P loss factor</t>
  </si>
  <si>
    <r>
      <t>F</t>
    </r>
    <r>
      <rPr>
        <b/>
        <vertAlign val="subscript"/>
        <sz val="10"/>
        <color rgb="FF000000"/>
        <rFont val="Times New Roman"/>
        <family val="1"/>
      </rPr>
      <t xml:space="preserve">PFS </t>
    </r>
  </si>
  <si>
    <r>
      <t>F</t>
    </r>
    <r>
      <rPr>
        <b/>
        <vertAlign val="subscript"/>
        <sz val="10"/>
        <color rgb="FF000000"/>
        <rFont val="Times New Roman"/>
        <family val="1"/>
      </rPr>
      <t xml:space="preserve">Ploss </t>
    </r>
  </si>
  <si>
    <t>Sludge residues</t>
  </si>
  <si>
    <t>0. 38%</t>
  </si>
  <si>
    <r>
      <t> </t>
    </r>
    <r>
      <rPr>
        <sz val="10"/>
        <color theme="1"/>
        <rFont val="Calibri"/>
        <family val="2"/>
      </rPr>
      <t>Table SI-12: Substitution factor for P.</t>
    </r>
  </si>
  <si>
    <t xml:space="preserve">Table SI-12.  Fraction of the initial application of 30 kg P ha-1 in sludge residues, which resulted in the lower application of mineral P fertiliser (substitution, FPFS) and increased P loss (FPloss) in the subsequent 100 years. </t>
  </si>
  <si>
    <t>Electricity genaration mix</t>
  </si>
  <si>
    <t>Item</t>
  </si>
  <si>
    <t>Parameters</t>
  </si>
  <si>
    <t>Default</t>
  </si>
  <si>
    <t>Distribution</t>
  </si>
  <si>
    <t>Yield</t>
  </si>
  <si>
    <t>ND(72.8,19.0)</t>
  </si>
  <si>
    <t>% C bio and</t>
  </si>
  <si>
    <r>
      <t>Equal to the methane generation amount of 0.248 ± 0.076 m</t>
    </r>
    <r>
      <rPr>
        <vertAlign val="superscript"/>
        <sz val="10"/>
        <color theme="1"/>
        <rFont val="Times New Roman"/>
        <family val="1"/>
      </rPr>
      <t>3</t>
    </r>
    <r>
      <rPr>
        <sz val="10"/>
        <color theme="1"/>
        <rFont val="Times New Roman"/>
        <family val="1"/>
      </rPr>
      <t>/kg VS</t>
    </r>
  </si>
  <si>
    <r>
      <t>Measured CH</t>
    </r>
    <r>
      <rPr>
        <vertAlign val="subscript"/>
        <sz val="10"/>
        <color theme="1"/>
        <rFont val="Times New Roman"/>
        <family val="1"/>
      </rPr>
      <t>4</t>
    </r>
    <r>
      <rPr>
        <sz val="10"/>
        <color theme="1"/>
        <rFont val="Times New Roman"/>
        <family val="1"/>
      </rPr>
      <t xml:space="preserve"> % in biogas</t>
    </r>
  </si>
  <si>
    <t>ND(64, 5)</t>
  </si>
  <si>
    <t>Loss of VS</t>
  </si>
  <si>
    <t>kg / kg C_bio digested</t>
  </si>
  <si>
    <t>Equal to VS degradation 46 ± 11% of VS</t>
  </si>
  <si>
    <t>Ele_con_AD*0.588</t>
  </si>
  <si>
    <t>kWh/kg wet weight</t>
  </si>
  <si>
    <t>Ele_con_AD is the total energy consumption data. 0.588 is the electricity account in total energy</t>
  </si>
  <si>
    <t>Diesel consumption</t>
  </si>
  <si>
    <t>Ele_con_AD*0.118*3.6/42</t>
  </si>
  <si>
    <t>0.118 is the diesel account in total energy, 3.6 is the transfer ratio from kWh to MJ, 42 is the diesel heating value (MJ/kg diesel)</t>
  </si>
  <si>
    <t>Heat consumption</t>
  </si>
  <si>
    <t>Ele_con_AD*0.294*3.6</t>
  </si>
  <si>
    <t>MJ/kg wet weight</t>
  </si>
  <si>
    <t>0.294 is the heat account in total energy, 3.6 is the transfer ratio from kWh to MJ</t>
  </si>
  <si>
    <r>
      <t>CH</t>
    </r>
    <r>
      <rPr>
        <vertAlign val="subscript"/>
        <sz val="10"/>
        <color theme="1"/>
        <rFont val="Times New Roman"/>
        <family val="1"/>
      </rPr>
      <t>4</t>
    </r>
    <r>
      <rPr>
        <sz val="10"/>
        <color theme="1"/>
        <rFont val="Times New Roman"/>
        <family val="1"/>
      </rPr>
      <t xml:space="preserve"> fugitive loss </t>
    </r>
    <r>
      <rPr>
        <vertAlign val="superscript"/>
        <sz val="10"/>
        <color theme="1"/>
        <rFont val="Times New Roman"/>
        <family val="1"/>
      </rPr>
      <t>[2]</t>
    </r>
  </si>
  <si>
    <t>Sationary engines</t>
  </si>
  <si>
    <t>Heat</t>
  </si>
  <si>
    <t>ND(41.3, 16.5)</t>
  </si>
  <si>
    <t>Degradation</t>
  </si>
  <si>
    <t>Balance</t>
  </si>
  <si>
    <t>Electricity substitution</t>
  </si>
  <si>
    <t>-CH4_LHV/3.6</t>
  </si>
  <si>
    <r>
      <t>kWh/m</t>
    </r>
    <r>
      <rPr>
        <vertAlign val="superscript"/>
        <sz val="10"/>
        <color theme="1"/>
        <rFont val="Times New Roman"/>
        <family val="1"/>
      </rPr>
      <t>3</t>
    </r>
    <r>
      <rPr>
        <sz val="10"/>
        <color theme="1"/>
        <rFont val="Times New Roman"/>
        <family val="1"/>
      </rPr>
      <t xml:space="preserve"> CH</t>
    </r>
    <r>
      <rPr>
        <vertAlign val="subscript"/>
        <sz val="10"/>
        <color theme="1"/>
        <rFont val="Times New Roman"/>
        <family val="1"/>
      </rPr>
      <t>4</t>
    </r>
  </si>
  <si>
    <t>Heat substitution</t>
  </si>
  <si>
    <t>-CH4_LHV</t>
  </si>
  <si>
    <r>
      <t>MJ/m</t>
    </r>
    <r>
      <rPr>
        <vertAlign val="superscript"/>
        <sz val="10"/>
        <color theme="1"/>
        <rFont val="Times New Roman"/>
        <family val="1"/>
      </rPr>
      <t>3</t>
    </r>
    <r>
      <rPr>
        <sz val="10"/>
        <color theme="1"/>
        <rFont val="Times New Roman"/>
        <family val="1"/>
      </rPr>
      <t xml:space="preserve"> CH</t>
    </r>
    <r>
      <rPr>
        <vertAlign val="subscript"/>
        <sz val="10"/>
        <color theme="1"/>
        <rFont val="Times New Roman"/>
        <family val="1"/>
      </rPr>
      <t>4</t>
    </r>
  </si>
  <si>
    <t>Material property</t>
  </si>
  <si>
    <t>Transformed at (%) into</t>
  </si>
  <si>
    <t>With the conversion factor**</t>
  </si>
  <si>
    <r>
      <t>m</t>
    </r>
    <r>
      <rPr>
        <vertAlign val="superscript"/>
        <sz val="10"/>
        <color theme="1"/>
        <rFont val="Times New Roman"/>
        <family val="1"/>
      </rPr>
      <t>3</t>
    </r>
    <r>
      <rPr>
        <sz val="10"/>
        <color theme="1"/>
        <rFont val="Times New Roman"/>
        <family val="1"/>
      </rPr>
      <t xml:space="preserve"> CH</t>
    </r>
    <r>
      <rPr>
        <vertAlign val="subscript"/>
        <sz val="10"/>
        <color theme="1"/>
        <rFont val="Times New Roman"/>
        <family val="1"/>
      </rPr>
      <t>4</t>
    </r>
  </si>
  <si>
    <t>Methane, non-fossil</t>
  </si>
  <si>
    <t>M_CH4/Volume_gas</t>
  </si>
  <si>
    <r>
      <t>m</t>
    </r>
    <r>
      <rPr>
        <vertAlign val="superscript"/>
        <sz val="10"/>
        <color theme="1"/>
        <rFont val="Times New Roman"/>
        <family val="1"/>
      </rPr>
      <t>3</t>
    </r>
    <r>
      <rPr>
        <sz val="10"/>
        <color theme="1"/>
        <rFont val="Times New Roman"/>
        <family val="1"/>
      </rPr>
      <t xml:space="preserve"> CO</t>
    </r>
    <r>
      <rPr>
        <vertAlign val="subscript"/>
        <sz val="10"/>
        <color theme="1"/>
        <rFont val="Times New Roman"/>
        <family val="1"/>
      </rPr>
      <t>2</t>
    </r>
  </si>
  <si>
    <t>Carbon dioxide, non-fossil</t>
  </si>
  <si>
    <t>M_CO2/Volume_gas</t>
  </si>
  <si>
    <t>*No other fugitive gas is considered.</t>
  </si>
  <si>
    <t>**M_CH4 = 16.04 g/mol, Volume_gas=22.4 L/mol</t>
  </si>
  <si>
    <t>Pollution</t>
  </si>
  <si>
    <t>Amount*</t>
  </si>
  <si>
    <t>Nitrogen oxides</t>
  </si>
  <si>
    <t>0.000202*CH4_LHV</t>
  </si>
  <si>
    <r>
      <t>kg / m</t>
    </r>
    <r>
      <rPr>
        <vertAlign val="superscript"/>
        <sz val="10"/>
        <color theme="1"/>
        <rFont val="Times New Roman"/>
        <family val="1"/>
      </rPr>
      <t>3</t>
    </r>
    <r>
      <rPr>
        <sz val="10"/>
        <color theme="1"/>
        <rFont val="Times New Roman"/>
        <family val="1"/>
      </rPr>
      <t xml:space="preserve"> CH</t>
    </r>
    <r>
      <rPr>
        <vertAlign val="subscript"/>
        <sz val="10"/>
        <color theme="1"/>
        <rFont val="Times New Roman"/>
        <family val="1"/>
      </rPr>
      <t>4</t>
    </r>
  </si>
  <si>
    <t>NMVOC, non-methane volatile organic compounds, unspecified origin</t>
  </si>
  <si>
    <t>1E-05*CH4_LHV</t>
  </si>
  <si>
    <t>Carbon monoxide, fossil</t>
  </si>
  <si>
    <t>0.00031*CH4_LHV</t>
  </si>
  <si>
    <t>Dinitrogen monoxide</t>
  </si>
  <si>
    <t>1.6E-06*CH4_LHV</t>
  </si>
  <si>
    <t>Ammonia</t>
  </si>
  <si>
    <t>0/CH4_LHV</t>
  </si>
  <si>
    <t>Particulates, &gt; 10 um</t>
  </si>
  <si>
    <t>2.18E-06*CH4_LHV</t>
  </si>
  <si>
    <t>Particulates, &gt; 2.5 um, and &lt; 10um</t>
  </si>
  <si>
    <t>2.45E-07*CH4_LHV</t>
  </si>
  <si>
    <t>Particulates, &lt; 2.5 um</t>
  </si>
  <si>
    <t>2.06E-07*CH4_LHV</t>
  </si>
  <si>
    <t>Arsenic</t>
  </si>
  <si>
    <t>2E-12*CH4_LHV</t>
  </si>
  <si>
    <t>Cadmium</t>
  </si>
  <si>
    <t>1E-12*CH4_LHV</t>
  </si>
  <si>
    <t>Chromium</t>
  </si>
  <si>
    <t>2E-10*CH4_LHV</t>
  </si>
  <si>
    <t>Copper</t>
  </si>
  <si>
    <t>1.3E-10*CH4_LHV</t>
  </si>
  <si>
    <t>Mercury</t>
  </si>
  <si>
    <t>1.2E-10*CH4_LHV</t>
  </si>
  <si>
    <t>Nickel</t>
  </si>
  <si>
    <t>5E-12*CH4_LHV</t>
  </si>
  <si>
    <t>Lead</t>
  </si>
  <si>
    <t>1.2E-11*CH4_LHV</t>
  </si>
  <si>
    <t>Selenium</t>
  </si>
  <si>
    <t>Zinc</t>
  </si>
  <si>
    <t>4.2E-10*CH4_LHV</t>
  </si>
  <si>
    <t>Dioxins, measured as 2,3,7,8-tetrachlorodibenzo-p-dioxin</t>
  </si>
  <si>
    <t>9.6E-16*CH4_LHV</t>
  </si>
  <si>
    <t>Benzo(a)pyrene</t>
  </si>
  <si>
    <t>1.3E-12*CH4_LHV</t>
  </si>
  <si>
    <t>0.000434*CH4_LHV</t>
  </si>
  <si>
    <t>Fluoranthene</t>
  </si>
  <si>
    <t>6E-12*CH4_LHV</t>
  </si>
  <si>
    <t>Benzo(k)fluoranthene</t>
  </si>
  <si>
    <t>1.2E-12*CH4_LHV</t>
  </si>
  <si>
    <t>Benzo(ghi)perylene</t>
  </si>
  <si>
    <t>1.1E-12*CH4_LHV</t>
  </si>
  <si>
    <t>Indeno(1,2,3-cd)pyrene</t>
  </si>
  <si>
    <t>6E-13*CH4_LHV</t>
  </si>
  <si>
    <t>Sulfur dioxide</t>
  </si>
  <si>
    <t>1.92E-05*CH4_LHV</t>
  </si>
  <si>
    <t>Benzene, hexachloro-</t>
  </si>
  <si>
    <t>1.9E-13*CH4_LHV</t>
  </si>
  <si>
    <t xml:space="preserve">CH4_LHV = 38 MJ/Nm3 </t>
  </si>
  <si>
    <t>ANAEROBIC DIGESTION</t>
  </si>
  <si>
    <t>Polymer flocculating</t>
  </si>
  <si>
    <t>kWh/kg wet weight input</t>
  </si>
  <si>
    <t>ND(10.6E-03, 4.6E-03)</t>
  </si>
  <si>
    <t>ND(0.0073, 0.0012)</t>
  </si>
  <si>
    <r>
      <t> </t>
    </r>
    <r>
      <rPr>
        <sz val="10"/>
        <color theme="1"/>
        <rFont val="Times New Roman"/>
        <family val="1"/>
      </rPr>
      <t>This is the one that I should use for sc.1 and sc.0.</t>
    </r>
  </si>
  <si>
    <t>Fraction name</t>
  </si>
  <si>
    <t>Ash</t>
  </si>
  <si>
    <t xml:space="preserve">Other minerals </t>
  </si>
  <si>
    <t>ND(95.4, 5.8)</t>
  </si>
  <si>
    <t>ND(99.9, 0.1)</t>
  </si>
  <si>
    <t>ND(52.6, 5.8)</t>
  </si>
  <si>
    <t>ND(82.5, 0.1)</t>
  </si>
  <si>
    <r>
      <t> </t>
    </r>
    <r>
      <rPr>
        <sz val="10"/>
        <color theme="1"/>
        <rFont val="Times New Roman"/>
        <family val="1"/>
      </rPr>
      <t>This is the one that I should use for Sc.o and Sc.1.</t>
    </r>
  </si>
  <si>
    <t>DEWATERING</t>
  </si>
  <si>
    <t>Hg</t>
  </si>
  <si>
    <t>Fraction</t>
  </si>
  <si>
    <t xml:space="preserve">Output </t>
  </si>
  <si>
    <t>parameter</t>
  </si>
  <si>
    <t>default</t>
  </si>
  <si>
    <t>distribution</t>
  </si>
  <si>
    <t>100-Ele_Rec-Heat_Rec</t>
  </si>
  <si>
    <t>--</t>
  </si>
  <si>
    <t>Fly ash</t>
  </si>
  <si>
    <t>Bottom ash</t>
  </si>
  <si>
    <t>100-Ash_FA</t>
  </si>
  <si>
    <t xml:space="preserve">Heavy metal </t>
  </si>
  <si>
    <t>Flue gas*</t>
  </si>
  <si>
    <t>UD(1,57)</t>
  </si>
  <si>
    <t>100-Hg_FG-Hg_BA</t>
  </si>
  <si>
    <t>100-Cd_FA-Cd_FG</t>
  </si>
  <si>
    <t xml:space="preserve">* The data get based on the most restricted limitation value in Europe and China, where the lower one get based on EU limitation and another on get based on China value.[8-9] </t>
  </si>
  <si>
    <t>Unite</t>
  </si>
  <si>
    <t>MJ / kg TS input</t>
  </si>
  <si>
    <t>kWh / kg TS input</t>
  </si>
  <si>
    <r>
      <t> </t>
    </r>
    <r>
      <rPr>
        <sz val="10"/>
        <color theme="1"/>
        <rFont val="Times New Roman"/>
        <family val="1"/>
      </rPr>
      <t>Data to use in incineration scenario</t>
    </r>
  </si>
  <si>
    <t>NaOH (47%)</t>
  </si>
  <si>
    <t>kg / kg TS input</t>
  </si>
  <si>
    <t>Lime (15%)</t>
  </si>
  <si>
    <t>Activated Carbon</t>
  </si>
  <si>
    <t>ND(0.0010,0.0006)</t>
  </si>
  <si>
    <t>Potable Water</t>
  </si>
  <si>
    <t>PW_Inci</t>
  </si>
  <si>
    <r>
      <t> </t>
    </r>
    <r>
      <rPr>
        <sz val="10"/>
        <color theme="1"/>
        <rFont val="Times New Roman"/>
        <family val="1"/>
      </rPr>
      <t>Data to use in incineration scenario.</t>
    </r>
  </si>
  <si>
    <t>Default*</t>
  </si>
  <si>
    <t>Distribution**</t>
  </si>
  <si>
    <t>UD(1.52E-4, 1.22E-3)</t>
  </si>
  <si>
    <t>Dioxins, measured as 2,3,7,8 – tetra chlorobenzene-p-dioxin</t>
  </si>
  <si>
    <t>UD(1.5E-10, 1.52E-9)</t>
  </si>
  <si>
    <t>Hydrogen chloride</t>
  </si>
  <si>
    <t>UD(3.05E-5, 7.62E-4)</t>
  </si>
  <si>
    <t>UD(7.62E-4, 3.81E-3)</t>
  </si>
  <si>
    <t>UD(7.62E-5, 1.22E-3)</t>
  </si>
  <si>
    <t>Particulates, &gt;10 um</t>
  </si>
  <si>
    <t>UD(3.05E-5, 3.05E-4)</t>
  </si>
  <si>
    <t>TVOC</t>
  </si>
  <si>
    <t>UD(4.57E-5,4.57E-4)</t>
  </si>
  <si>
    <t>HF</t>
  </si>
  <si>
    <t>UD(1.52E-5,1.52E-4)</t>
  </si>
  <si>
    <r>
      <t>NH</t>
    </r>
    <r>
      <rPr>
        <vertAlign val="subscript"/>
        <sz val="10"/>
        <color rgb="FF000000"/>
        <rFont val="Times New Roman"/>
        <family val="1"/>
      </rPr>
      <t>3</t>
    </r>
  </si>
  <si>
    <t>UD(3.05E-5,3.05E-4)</t>
  </si>
  <si>
    <t xml:space="preserve">* The default value calculated according to the China incineration plant limitation[9], with an assumption of flue gas generation amount at average 15.23 Nm3/kg TS input. </t>
  </si>
  <si>
    <r>
      <t>** The distribution got based on the China and Europe limitation, the min value is coming from the Europe limitation</t>
    </r>
    <r>
      <rPr>
        <vertAlign val="superscript"/>
        <sz val="11"/>
        <color theme="1"/>
        <rFont val="Aptos Narrow"/>
        <family val="1"/>
        <scheme val="minor"/>
      </rPr>
      <t>[8]</t>
    </r>
    <r>
      <rPr>
        <sz val="11"/>
        <color theme="1"/>
        <rFont val="Aptos Narrow"/>
        <family val="1"/>
        <scheme val="minor"/>
      </rPr>
      <t>, the max value comes from the China limination</t>
    </r>
    <r>
      <rPr>
        <vertAlign val="superscript"/>
        <sz val="11"/>
        <color theme="1"/>
        <rFont val="Aptos Narrow"/>
        <family val="1"/>
        <scheme val="minor"/>
      </rPr>
      <t>[9]</t>
    </r>
  </si>
  <si>
    <t>Ecoinvent processer</t>
  </si>
  <si>
    <t>Er blevet rettet og indsat ift. oplysningerne i arket.</t>
  </si>
  <si>
    <t>Used for all 3 Carbon types!</t>
  </si>
  <si>
    <t>Comments</t>
  </si>
  <si>
    <t>Er rettet i parameterarket (fra LN(0.84,0.56) til ND(2.7,1.7))</t>
  </si>
  <si>
    <t>Ecoinvent</t>
  </si>
  <si>
    <t>Ændret fra UD(1,57) til UD(1.14,56.92)</t>
  </si>
  <si>
    <t>sodium hydroxide, without water, in 50% solution state,market for sodium hydroxide, without water, in 50% solution state,GLO</t>
  </si>
  <si>
    <t>lime, hydrated, loose weight,lime production, hydrated, loose weight,RoW</t>
  </si>
  <si>
    <t>activated carbon, granular,activated carbon production, granular from hard coal,RoW</t>
  </si>
  <si>
    <t>tap water,tap water production, conventional treatment,RoW</t>
  </si>
  <si>
    <t>heat, district or industrial, natural gas,market for heat, district or industrial, natural gas,Europe without Switzerland</t>
  </si>
  <si>
    <t>electricity, medium voltage,market for electricity, medium voltage,DK</t>
  </si>
  <si>
    <t>diesel, low-sulfur,market for diesel, low-sulfur,Europe without Switzerland</t>
  </si>
  <si>
    <t>polyacrylamide,market for polyacrylamide,GLO</t>
  </si>
  <si>
    <t>Ecoinvent processer benyttet</t>
  </si>
  <si>
    <t>market for sodium hydroxide, without water, in 50% solution state, RER</t>
  </si>
  <si>
    <t>calcium carbonate, precipitated,market for calcium carbonate, 
precipitated,RER</t>
  </si>
  <si>
    <t>activated carbon, granular,market for activated carbon, granular,GLO</t>
  </si>
  <si>
    <t>tap water,market for tap water,Europe without Switzerland</t>
  </si>
  <si>
    <t>(kWh)</t>
  </si>
  <si>
    <t xml:space="preserve">[kg/kg DM in dewatered sludge] </t>
  </si>
  <si>
    <t xml:space="preserve">CO  </t>
  </si>
  <si>
    <r>
      <t>SO</t>
    </r>
    <r>
      <rPr>
        <b/>
        <vertAlign val="subscript"/>
        <sz val="11"/>
        <color rgb="FF000000"/>
        <rFont val="Times New Roman"/>
        <family val="1"/>
      </rPr>
      <t>2</t>
    </r>
    <r>
      <rPr>
        <b/>
        <sz val="11"/>
        <color rgb="FF000000"/>
        <rFont val="Times New Roman"/>
        <family val="1"/>
      </rPr>
      <t xml:space="preserve">  </t>
    </r>
  </si>
  <si>
    <t xml:space="preserve">NOx  </t>
  </si>
  <si>
    <r>
      <t>NH</t>
    </r>
    <r>
      <rPr>
        <b/>
        <vertAlign val="subscript"/>
        <sz val="11"/>
        <color rgb="FF000000"/>
        <rFont val="Times New Roman"/>
        <family val="1"/>
      </rPr>
      <t>3</t>
    </r>
    <r>
      <rPr>
        <b/>
        <sz val="11"/>
        <color rgb="FF000000"/>
        <rFont val="Times New Roman"/>
        <family val="1"/>
      </rPr>
      <t xml:space="preserve"> </t>
    </r>
  </si>
  <si>
    <t xml:space="preserve">Particles  </t>
  </si>
  <si>
    <t xml:space="preserve">Carbon dioxide </t>
  </si>
  <si>
    <t xml:space="preserve">Dioxin </t>
  </si>
  <si>
    <t xml:space="preserve">Mercury </t>
  </si>
  <si>
    <t>MJ</t>
  </si>
  <si>
    <t>calcium carbonate, precipitated,market for calcium carbonate, precipitated,RER</t>
  </si>
  <si>
    <t>Damptørring samt pyrolyse</t>
  </si>
  <si>
    <t>My calculation (LPG)</t>
  </si>
  <si>
    <t>Calculation in article (LPG)</t>
  </si>
  <si>
    <t>Heat_con_PYR</t>
  </si>
  <si>
    <t>Ele_con_PYR</t>
  </si>
  <si>
    <t>kWh/t dry solids (DS)</t>
  </si>
  <si>
    <t xml:space="preserve">Combustion of syngas: Flue gas emissions </t>
  </si>
  <si>
    <t>medtaget</t>
  </si>
  <si>
    <t>indsættes i substance transfer</t>
  </si>
  <si>
    <t>N_Bioc</t>
  </si>
  <si>
    <t>P_Bioc</t>
  </si>
  <si>
    <t>Hg_Bioc</t>
  </si>
  <si>
    <t>C_Bioc</t>
  </si>
  <si>
    <t>Total nitrogen, biochar</t>
  </si>
  <si>
    <t>Total carbon, biochar</t>
  </si>
  <si>
    <t>Mercury, biohar</t>
  </si>
  <si>
    <t>Transfer coefficient of Total nitrogen transferred into biochar during steam drying and pyrolysis</t>
  </si>
  <si>
    <t>Transfer coefficient of Total carbon transferred into biochar during steam drying and pyrolysis</t>
  </si>
  <si>
    <t>Transfer coefficient of Total nitrogen transferred into fluegas biochar during steam drying and pyrolysis</t>
  </si>
  <si>
    <t>Transfer coefficient of Total phosphorous transferred into biochar during steam drying and pyrolysis</t>
  </si>
  <si>
    <t>Transfer coefficient of Total phosphorous transferred into fluegas biochar during steam drying and pyrolysis</t>
  </si>
  <si>
    <t>Transfer coefficient of Total Mercury transferred into biochar during steam drying and pyrolysis</t>
  </si>
  <si>
    <t>Transfer coefficient of Total Mercury transferred into fluegas biochar during steam drying and pyrolysis</t>
  </si>
  <si>
    <t>Transfer coefficient of Total carbon transferred into fluegas biochar during steam drying and pyrolysis</t>
  </si>
  <si>
    <t>External processes</t>
  </si>
  <si>
    <t>Elementary exchanges</t>
  </si>
  <si>
    <t>N_Bioc_A</t>
  </si>
  <si>
    <t>N_Bioc_W</t>
  </si>
  <si>
    <t>N_Bioc_PU</t>
  </si>
  <si>
    <t>N_Bioc_SS</t>
  </si>
  <si>
    <t>P_Bioc_PU</t>
  </si>
  <si>
    <t>P_Bioc_SS</t>
  </si>
  <si>
    <t>M_Bioc_A</t>
  </si>
  <si>
    <t>M_Bioc_W</t>
  </si>
  <si>
    <t>M_Bioc_PU</t>
  </si>
  <si>
    <t>M_Bioc_SS</t>
  </si>
  <si>
    <t>C_Bioc_SS</t>
  </si>
  <si>
    <t>Total nitrogen, Air</t>
  </si>
  <si>
    <t>Total nitrogen, water</t>
  </si>
  <si>
    <t>Total phosphorous, biochar</t>
  </si>
  <si>
    <t>Total phosphorous, water</t>
  </si>
  <si>
    <t>Total mercury, water</t>
  </si>
  <si>
    <t>Total mercury, Air</t>
  </si>
  <si>
    <t>N_Syn</t>
  </si>
  <si>
    <t>P_Syn</t>
  </si>
  <si>
    <t>Hg_Syn</t>
  </si>
  <si>
    <t>C_Syn</t>
  </si>
  <si>
    <t>Total nitrogen, syngas</t>
  </si>
  <si>
    <t>Total phosphorous, syngas</t>
  </si>
  <si>
    <t>Mercury, syngas</t>
  </si>
  <si>
    <t>Total carbon, syngas</t>
  </si>
  <si>
    <t>CO_SYN</t>
  </si>
  <si>
    <t>SO2_SYN</t>
  </si>
  <si>
    <t>NOx_SYN</t>
  </si>
  <si>
    <t>NH3_SYN</t>
  </si>
  <si>
    <t>PM_SYN</t>
  </si>
  <si>
    <t>CO2_SYN</t>
  </si>
  <si>
    <t>Dio_SYN</t>
  </si>
  <si>
    <t>Mercury_SYN</t>
  </si>
  <si>
    <t>Naoh_SYN</t>
  </si>
  <si>
    <t>Caco3_SYN</t>
  </si>
  <si>
    <t>Ac_SYN</t>
  </si>
  <si>
    <t>Ele_pump</t>
  </si>
  <si>
    <t>Gasses (Carbon)</t>
  </si>
  <si>
    <t>Gasses (Nitrogen)</t>
  </si>
  <si>
    <t>Useful tables</t>
  </si>
  <si>
    <t>Non-Useful (other processes)</t>
  </si>
  <si>
    <t>Unsure</t>
  </si>
  <si>
    <t>CO2_STRB</t>
  </si>
  <si>
    <t>CH4_STRB</t>
  </si>
  <si>
    <t>N2_STRB</t>
  </si>
  <si>
    <t>N2O_STRB</t>
  </si>
  <si>
    <t>NH3_STRB</t>
  </si>
  <si>
    <t>CO2_SSPA</t>
  </si>
  <si>
    <t>CH4_SSPA</t>
  </si>
  <si>
    <t>N2_SSPA</t>
  </si>
  <si>
    <t>N2O_SSPA</t>
  </si>
  <si>
    <t>NH3_SSPA</t>
  </si>
  <si>
    <t>Rejectwater</t>
  </si>
  <si>
    <t>SSPA/1000</t>
  </si>
  <si>
    <t>Water_RW</t>
  </si>
  <si>
    <t>TS_RW</t>
  </si>
  <si>
    <t>VS_RW</t>
  </si>
  <si>
    <t>TC_RW</t>
  </si>
  <si>
    <t>TN_RW</t>
  </si>
  <si>
    <t>P_RW</t>
  </si>
  <si>
    <t>K_RW</t>
  </si>
  <si>
    <t>Mg_RW</t>
  </si>
  <si>
    <t>Ca_RW</t>
  </si>
  <si>
    <t>Cr_RW</t>
  </si>
  <si>
    <t>Mn_RW</t>
  </si>
  <si>
    <t>Fe_RW</t>
  </si>
  <si>
    <t>Zn_RW</t>
  </si>
  <si>
    <t>Ni_RW</t>
  </si>
  <si>
    <t>Cu_RW</t>
  </si>
  <si>
    <t>Cd_RW</t>
  </si>
  <si>
    <t>Pb_RW</t>
  </si>
  <si>
    <t xml:space="preserve">Parameter: Reject water </t>
  </si>
  <si>
    <t>Water_Eva</t>
  </si>
  <si>
    <t>TS_Eva</t>
  </si>
  <si>
    <t>VS_Eva</t>
  </si>
  <si>
    <t>TC_Eva</t>
  </si>
  <si>
    <t>TN_Eva</t>
  </si>
  <si>
    <t>P_Eva</t>
  </si>
  <si>
    <t>K_Eva</t>
  </si>
  <si>
    <t>Mg_Eva</t>
  </si>
  <si>
    <t>Ca_Eva</t>
  </si>
  <si>
    <t>Cr_Eva</t>
  </si>
  <si>
    <t>Mn_Eva</t>
  </si>
  <si>
    <t>Fe_Eva</t>
  </si>
  <si>
    <t>Zn_Eva</t>
  </si>
  <si>
    <t>Ni_Eva</t>
  </si>
  <si>
    <t>Cu_Eva</t>
  </si>
  <si>
    <t>Cd_Eva</t>
  </si>
  <si>
    <t>Pb_Eva</t>
  </si>
  <si>
    <t>Water_Min</t>
  </si>
  <si>
    <t>TS_Min</t>
  </si>
  <si>
    <t>VS_Min</t>
  </si>
  <si>
    <t>TC_Min</t>
  </si>
  <si>
    <t>TN_Min</t>
  </si>
  <si>
    <t>P_Min</t>
  </si>
  <si>
    <t>K_Min</t>
  </si>
  <si>
    <t>Mg_Min</t>
  </si>
  <si>
    <t>Ca_Min</t>
  </si>
  <si>
    <t>Cr_Min</t>
  </si>
  <si>
    <t>Mn_Min</t>
  </si>
  <si>
    <t>Fe_Min</t>
  </si>
  <si>
    <t>Zn_Min</t>
  </si>
  <si>
    <t>Ni_Min</t>
  </si>
  <si>
    <t>Cu_Min</t>
  </si>
  <si>
    <t>Cd_Min</t>
  </si>
  <si>
    <t>Pb_Min</t>
  </si>
  <si>
    <t>Water_SR</t>
  </si>
  <si>
    <t>TS_SR</t>
  </si>
  <si>
    <t>VS_SR</t>
  </si>
  <si>
    <t>TC_SR</t>
  </si>
  <si>
    <t>TN_SR</t>
  </si>
  <si>
    <t>P_SR</t>
  </si>
  <si>
    <t>K_SR</t>
  </si>
  <si>
    <t>Mg_SR</t>
  </si>
  <si>
    <t>Ca_SR</t>
  </si>
  <si>
    <t>Cr_SR</t>
  </si>
  <si>
    <t>Mn_SR</t>
  </si>
  <si>
    <t>Fe_SR</t>
  </si>
  <si>
    <t>Zn_SR</t>
  </si>
  <si>
    <t>Ni_SR</t>
  </si>
  <si>
    <t>Cu_SR</t>
  </si>
  <si>
    <t>Cd_SR</t>
  </si>
  <si>
    <t>Pb_SR</t>
  </si>
  <si>
    <t>Parameter: Mineralisation</t>
  </si>
  <si>
    <t>Parameter: Sludge residue</t>
  </si>
  <si>
    <t>Jeg har tjekket efter her hvordan værdierne skal forstås -- helt fint!</t>
  </si>
  <si>
    <t>Parameter: Evapotranspiration</t>
  </si>
  <si>
    <t>%ww</t>
  </si>
  <si>
    <t>f</t>
  </si>
  <si>
    <t>Fuel_exc</t>
  </si>
  <si>
    <t>Fuel_tra</t>
  </si>
  <si>
    <t>Fuel_exc_SSPA</t>
  </si>
  <si>
    <t>Fuel_transport_int</t>
  </si>
  <si>
    <t>Comment</t>
  </si>
  <si>
    <t>Combustion of 1 litre of diesel in a 74 kW farm tractor, operated at 30% average load factor.</t>
  </si>
  <si>
    <t>Ecoinvent/easetech</t>
  </si>
  <si>
    <t>Marginal energy mix</t>
  </si>
  <si>
    <t>SSPA</t>
  </si>
  <si>
    <t>SSPA_Water_SR</t>
  </si>
  <si>
    <t>SSPA_TS_SR</t>
  </si>
  <si>
    <t>SSPA_VS_SR</t>
  </si>
  <si>
    <t>SSPA_TC_SR</t>
  </si>
  <si>
    <t>SSPA_TN_SR</t>
  </si>
  <si>
    <t>SSPA_P_SR</t>
  </si>
  <si>
    <t>SSPA_K_SR</t>
  </si>
  <si>
    <t>SSPA_Mg_SR</t>
  </si>
  <si>
    <t>SSPA_Ca_SR</t>
  </si>
  <si>
    <t>SSPA_Cr_SR</t>
  </si>
  <si>
    <t>SSPA_Mn_SR</t>
  </si>
  <si>
    <t>SSPA_Fe_SR</t>
  </si>
  <si>
    <t>SSPA_Zn_SR</t>
  </si>
  <si>
    <t>SSPA_Ni_SR</t>
  </si>
  <si>
    <t>SSPA_Cu_SR</t>
  </si>
  <si>
    <t>SSPA_Cd_SR</t>
  </si>
  <si>
    <t>SSPA_Pb_SR</t>
  </si>
  <si>
    <t>SSPA_Water_Eva</t>
  </si>
  <si>
    <t>SSPA_TS_Eva</t>
  </si>
  <si>
    <t>SSPA_VS_Eva</t>
  </si>
  <si>
    <t>SSPA_TC_Eva</t>
  </si>
  <si>
    <t>SSPA_TN_Eva</t>
  </si>
  <si>
    <t>SSPA_P_Eva</t>
  </si>
  <si>
    <t>SSPA_K_Eva</t>
  </si>
  <si>
    <t>SSPA_Mg_Eva</t>
  </si>
  <si>
    <t>SSPA_Ca_Eva</t>
  </si>
  <si>
    <t>SSPA_Cr_Eva</t>
  </si>
  <si>
    <t>SSPA_Mn_Eva</t>
  </si>
  <si>
    <t>SSPA_Fe_Eva</t>
  </si>
  <si>
    <t>SSPA_Zn_Eva</t>
  </si>
  <si>
    <t>SSPA_Ni_Eva</t>
  </si>
  <si>
    <t>SSPA_Cu_Eva</t>
  </si>
  <si>
    <t>SSPA_Cd_Eva</t>
  </si>
  <si>
    <t>SSPA_Pb_Eva</t>
  </si>
  <si>
    <t>SSPA_Water_Min</t>
  </si>
  <si>
    <t>SSPA_TS_Min</t>
  </si>
  <si>
    <t>SSPA_VS_Min</t>
  </si>
  <si>
    <t>SSPA_TC_Min</t>
  </si>
  <si>
    <t>SSPA_TN_Min</t>
  </si>
  <si>
    <t>SSPA_P_Min</t>
  </si>
  <si>
    <t>SSPA_K_Min</t>
  </si>
  <si>
    <t>SSPA_Mg_Min</t>
  </si>
  <si>
    <t>SSPA_Ca_Min</t>
  </si>
  <si>
    <t>SSPA_Cr_Min</t>
  </si>
  <si>
    <t>SSPA_Mn_Min</t>
  </si>
  <si>
    <t>SSPA_Fe_Min</t>
  </si>
  <si>
    <t>SSPA_Zn_Min</t>
  </si>
  <si>
    <t>SSPA_Ni_Min</t>
  </si>
  <si>
    <t>SSPA_Cu_Min</t>
  </si>
  <si>
    <t>SSPA_Cd_Min</t>
  </si>
  <si>
    <t>SSPA_Pb_Min</t>
  </si>
  <si>
    <t>Parameter: evaporation</t>
  </si>
  <si>
    <t>Parameter: mineralisation</t>
  </si>
  <si>
    <t>Parameter: Carbon sequestration</t>
  </si>
  <si>
    <t>Parameter: Carbon dioxide emission</t>
  </si>
  <si>
    <t>C_seq_STRB</t>
  </si>
  <si>
    <t>C_seq_SSPA</t>
  </si>
  <si>
    <t>Parameter: NH3-N evaporation</t>
  </si>
  <si>
    <t>Parameter: N2O-N emission</t>
  </si>
  <si>
    <t>Parameter: NO3--N to groundwater</t>
  </si>
  <si>
    <t>Parameter: NO3--N to surface</t>
  </si>
  <si>
    <t>Parameter: N crop uptake</t>
  </si>
  <si>
    <t>NH3_eva_cen</t>
  </si>
  <si>
    <t>NH3_eva_STRB</t>
  </si>
  <si>
    <t>NH3_eva_SSPA</t>
  </si>
  <si>
    <t>N2O_emi_cen</t>
  </si>
  <si>
    <t>N2O_emi_STRB</t>
  </si>
  <si>
    <t>N2O_emi_SSPA</t>
  </si>
  <si>
    <t>NO3_GW_cen</t>
  </si>
  <si>
    <t>NO3_GW_STRB</t>
  </si>
  <si>
    <t>NO3_GW_SSPA</t>
  </si>
  <si>
    <t>NO3_SW_cen</t>
  </si>
  <si>
    <t>NO3_SW_STRB</t>
  </si>
  <si>
    <t>NO3_SW_SSPA</t>
  </si>
  <si>
    <t>N_crop_cen</t>
  </si>
  <si>
    <t>N_crop_STRB</t>
  </si>
  <si>
    <t>N_crop_SSPA</t>
  </si>
  <si>
    <t>Ash_RW</t>
  </si>
  <si>
    <t>Ash_Eva</t>
  </si>
  <si>
    <t>Ash_Min</t>
  </si>
  <si>
    <t>Ash_SR</t>
  </si>
  <si>
    <t>Resten</t>
  </si>
  <si>
    <t>Flows</t>
  </si>
  <si>
    <t>Distribution based on input sludge</t>
  </si>
  <si>
    <t>Distribution between outputs</t>
  </si>
  <si>
    <t>Sum total</t>
  </si>
  <si>
    <t>Input (STRB) kg</t>
  </si>
  <si>
    <t>SUM</t>
  </si>
  <si>
    <t>Assumption: mult with 50% of NO3 to groundwater as it is reduced</t>
  </si>
  <si>
    <t>N_subs_min</t>
  </si>
  <si>
    <t>Source and comment/ Description</t>
  </si>
  <si>
    <r>
      <t> </t>
    </r>
    <r>
      <rPr>
        <b/>
        <i/>
        <sz val="8"/>
        <color rgb="FF000000"/>
        <rFont val="Calibri"/>
        <family val="2"/>
      </rPr>
      <t>Mass transfer</t>
    </r>
  </si>
  <si>
    <t> Mass transfer</t>
  </si>
  <si>
    <t xml:space="preserve"> kg CaCO3/ ton SS</t>
  </si>
  <si>
    <t xml:space="preserve"> kg active carbon/ton SS </t>
  </si>
  <si>
    <t xml:space="preserve"> kWh/ton SS</t>
  </si>
  <si>
    <t>Fuel_gasoline</t>
  </si>
  <si>
    <t>Output</t>
  </si>
  <si>
    <t>GJ/ton TS</t>
  </si>
  <si>
    <t>Data fra lynetten</t>
  </si>
  <si>
    <t>Slam forbrænding (Fluid bed)</t>
  </si>
  <si>
    <t>ton TS/time</t>
  </si>
  <si>
    <t>MW</t>
  </si>
  <si>
    <t>kg aske</t>
  </si>
  <si>
    <t>Nm3 v. 59 grader</t>
  </si>
  <si>
    <t>Ingen tilførsel af ekstern energi, kun biogas fra den foregående process.</t>
  </si>
  <si>
    <t>Udrådnet slam, 30% TS</t>
  </si>
  <si>
    <t>Brændværdi</t>
  </si>
  <si>
    <t>Naturgasforbrug</t>
  </si>
  <si>
    <t>CaCO3</t>
  </si>
  <si>
    <t>kg/ton TS</t>
  </si>
  <si>
    <t>Elforbrug</t>
  </si>
  <si>
    <t>kWh/ton TS</t>
  </si>
  <si>
    <t>Varmeproduktion</t>
  </si>
  <si>
    <t>Ved forbrænding</t>
  </si>
  <si>
    <t>kg/ton</t>
  </si>
  <si>
    <t>Can be converted</t>
  </si>
  <si>
    <t>Input to EASETECH</t>
  </si>
  <si>
    <t>kg/kg ss</t>
  </si>
  <si>
    <t>Nm3/kg ss</t>
  </si>
  <si>
    <t>kWh/kg ss</t>
  </si>
  <si>
    <t>nm3/ton</t>
  </si>
  <si>
    <t>Total Water, syngas</t>
  </si>
  <si>
    <t>Total Water, biochar</t>
  </si>
  <si>
    <t xml:space="preserve">TS </t>
  </si>
  <si>
    <t xml:space="preserve">Water </t>
  </si>
  <si>
    <t xml:space="preserve">VS </t>
  </si>
  <si>
    <t xml:space="preserve">Ash </t>
  </si>
  <si>
    <t xml:space="preserve">C bio </t>
  </si>
  <si>
    <t xml:space="preserve">C  fossil </t>
  </si>
  <si>
    <t xml:space="preserve">Ca </t>
  </si>
  <si>
    <t xml:space="preserve">K </t>
  </si>
  <si>
    <t xml:space="preserve">N </t>
  </si>
  <si>
    <t xml:space="preserve">P </t>
  </si>
  <si>
    <t xml:space="preserve">S </t>
  </si>
  <si>
    <t>Steam Dryer</t>
  </si>
  <si>
    <t>Condensed water</t>
  </si>
  <si>
    <t>Dried sludge</t>
  </si>
  <si>
    <t>Pyrolysis</t>
  </si>
  <si>
    <t>Syngas</t>
  </si>
  <si>
    <t>Biochar</t>
  </si>
  <si>
    <t>Incineration input</t>
  </si>
  <si>
    <t>Syngas + LPG</t>
  </si>
  <si>
    <t>Field application</t>
  </si>
  <si>
    <t>%TC</t>
  </si>
  <si>
    <t>Sum-check</t>
  </si>
  <si>
    <t>Water_Syn</t>
  </si>
  <si>
    <t>Total wet weight</t>
  </si>
  <si>
    <t>Water_Bioc</t>
  </si>
  <si>
    <t>VS_Bioc</t>
  </si>
  <si>
    <t>Ash_Bioc</t>
  </si>
  <si>
    <t>Energy_Bioc</t>
  </si>
  <si>
    <t>Ca_Bioc</t>
  </si>
  <si>
    <t>K_Bioc</t>
  </si>
  <si>
    <t>VS_Syn</t>
  </si>
  <si>
    <t>Ash_Syn</t>
  </si>
  <si>
    <t>Energy_Syn</t>
  </si>
  <si>
    <t>Ca_Syn</t>
  </si>
  <si>
    <t>K_Syn</t>
  </si>
  <si>
    <t>Total VS, syngas</t>
  </si>
  <si>
    <t>Total VS, biochar</t>
  </si>
  <si>
    <t>Total Ash, syngas</t>
  </si>
  <si>
    <t>Total energy, biochar</t>
  </si>
  <si>
    <t>Total energy, syngas</t>
  </si>
  <si>
    <t>Total Ash, biochar</t>
  </si>
  <si>
    <t>Source:</t>
  </si>
  <si>
    <t>Farago</t>
  </si>
  <si>
    <t>Transfer coefficient.</t>
  </si>
  <si>
    <t>Description of parameter</t>
  </si>
  <si>
    <t>External process. Heat consumption.</t>
  </si>
  <si>
    <t>External process. Electricity consumption.</t>
  </si>
  <si>
    <t>minder om farago</t>
  </si>
  <si>
    <t>Other sources 1:</t>
  </si>
  <si>
    <t>Other sources 2:</t>
  </si>
  <si>
    <t>Source (default):</t>
  </si>
  <si>
    <t>S_Bioc</t>
  </si>
  <si>
    <t>S_Syn</t>
  </si>
  <si>
    <t>Cadmium, biochar</t>
  </si>
  <si>
    <t>Cadmium, syngas</t>
  </si>
  <si>
    <t>K, biochar</t>
  </si>
  <si>
    <t>K, syngas</t>
  </si>
  <si>
    <t>S, biochar</t>
  </si>
  <si>
    <t>S, syngas</t>
  </si>
  <si>
    <t>Not included</t>
  </si>
  <si>
    <t>TD</t>
  </si>
  <si>
    <t>,</t>
  </si>
  <si>
    <t>(</t>
  </si>
  <si>
    <t>)</t>
  </si>
  <si>
    <t>Source 1:</t>
  </si>
  <si>
    <t>Type of distribution (automatic setup)</t>
  </si>
  <si>
    <t>TD=Triangular distribution</t>
  </si>
  <si>
    <t>Farago 2022</t>
  </si>
  <si>
    <t>Daniel 2022</t>
  </si>
  <si>
    <t>N2, N2O</t>
  </si>
  <si>
    <t>N03(sammenlagt</t>
  </si>
  <si>
    <t>N plant uptake</t>
  </si>
  <si>
    <t>N soil storage</t>
  </si>
  <si>
    <t>PO3 sammenlagt</t>
  </si>
  <si>
    <t>CO2</t>
  </si>
  <si>
    <t>C storage</t>
  </si>
  <si>
    <t>P plant uptake (50%50%)</t>
  </si>
  <si>
    <t>P soil storage</t>
  </si>
  <si>
    <t>Carbon væsentlig forskel</t>
  </si>
  <si>
    <t>Der er en forskel for N</t>
  </si>
  <si>
    <t>Use on land.</t>
  </si>
  <si>
    <t>Use on land. Divide between leaching and runoff, as it will be added in the end anyway.</t>
  </si>
  <si>
    <t>Use on land. Plant uptake</t>
  </si>
  <si>
    <t>Total phosphorous, plant uptake</t>
  </si>
  <si>
    <t>Total phosphorous, soil storage</t>
  </si>
  <si>
    <t>Use on land. Soil storage.</t>
  </si>
  <si>
    <t>P_Bioc_water</t>
  </si>
  <si>
    <t>Maria 2022</t>
  </si>
  <si>
    <t>Total carbon, CO2</t>
  </si>
  <si>
    <t>C_Bioc_CO2</t>
  </si>
  <si>
    <t>Total carbon, Soil</t>
  </si>
  <si>
    <t xml:space="preserve">Not used </t>
  </si>
  <si>
    <t>Not used</t>
  </si>
  <si>
    <t>Total mercury, plant uptake</t>
  </si>
  <si>
    <t>Total mercury, soil storage</t>
  </si>
  <si>
    <t>Total nitrogen, plant uptake</t>
  </si>
  <si>
    <t>Total nitrogen, soil storage</t>
  </si>
  <si>
    <t>Use-on-land: Direct and indirect emissions.</t>
  </si>
  <si>
    <t>Use-on-land: indirect emissions.</t>
  </si>
  <si>
    <t>Not used . Assumption of 50%/50% distribution between leaching and runoff.</t>
  </si>
  <si>
    <t>P_subs_biochar</t>
  </si>
  <si>
    <t>KU Excel fil</t>
  </si>
  <si>
    <t>P substition factor</t>
  </si>
  <si>
    <t>Nitrogen substitution factor</t>
  </si>
  <si>
    <t>P ikke en forskel</t>
  </si>
  <si>
    <t>There is a wide range for this found in litterature.</t>
  </si>
  <si>
    <t>Anders, Larsen</t>
  </si>
  <si>
    <t>External process/Ecoinvent process:</t>
  </si>
  <si>
    <t>Not used. Calcualates automatically.</t>
  </si>
  <si>
    <t>kg/kg TS</t>
  </si>
  <si>
    <t>MJ/kg TS</t>
  </si>
  <si>
    <t>kWh/kg TS</t>
  </si>
  <si>
    <t>TD(2,4.4)</t>
  </si>
  <si>
    <t>Ændret til at matche MARIA FARAGO (2)</t>
  </si>
  <si>
    <t>WW_density</t>
  </si>
  <si>
    <t>From kg to m3. Assumption about the density of wastewater.Added</t>
  </si>
  <si>
    <t>The density of wastewater</t>
  </si>
  <si>
    <t>TD(0.0000991,0.092,0.0000991)</t>
  </si>
  <si>
    <t>TD(0.3,6.99,6.99)</t>
  </si>
  <si>
    <t>TD(94.56,96.35,94.56)</t>
  </si>
  <si>
    <t>TD(3.5,5.44,3.5)</t>
  </si>
  <si>
    <t>TD(0,0.15,0)</t>
  </si>
  <si>
    <t>TD(55,60,55)</t>
  </si>
  <si>
    <t>TD(50,55.39,50)</t>
  </si>
  <si>
    <t>TD(50.91,55,50.91)</t>
  </si>
  <si>
    <t>Distribution (Huimin et al. 2023)</t>
  </si>
  <si>
    <t>References</t>
  </si>
  <si>
    <t>Distribution (Other sources)</t>
  </si>
  <si>
    <t>Unit (2)</t>
  </si>
  <si>
    <t xml:space="preserve"> (Huimin et al. 2023)</t>
  </si>
  <si>
    <t>1)Marginal heat mix. 2) Marginal electricity mix. 3) diesel, low-sulfur,diesel production, low-sulfur, petroleum refinery operation,RoW</t>
  </si>
  <si>
    <t>1)Marginal heat mix.</t>
  </si>
  <si>
    <t>Marginal electricity mix</t>
  </si>
  <si>
    <t>Sources</t>
  </si>
  <si>
    <t>Ele_con_heat</t>
  </si>
  <si>
    <t>*See comment</t>
  </si>
  <si>
    <t>0.031  * See comment</t>
  </si>
  <si>
    <t>Calculated TC</t>
  </si>
  <si>
    <t>Modelling Use-on-land</t>
  </si>
  <si>
    <t>data fr</t>
  </si>
  <si>
    <t>Mineralisation (Data from MST)</t>
  </si>
  <si>
    <t>Calculation of VS:</t>
  </si>
  <si>
    <t>46 kWh/ton TS from MST 2013</t>
  </si>
  <si>
    <t>Amount (default)</t>
  </si>
  <si>
    <t>Heat production</t>
  </si>
  <si>
    <t>GJ/kg TS</t>
  </si>
  <si>
    <t>Source 1: Maria Farago 2</t>
  </si>
  <si>
    <t>Kg / kg TS input</t>
  </si>
  <si>
    <t>=</t>
  </si>
  <si>
    <t>MJ/kg</t>
  </si>
  <si>
    <t>Fuel for start-up(year)</t>
  </si>
  <si>
    <t>Fuel for start-up(one time)</t>
  </si>
  <si>
    <t>Fuel_start_yr</t>
  </si>
  <si>
    <t>Fuel_start_ot</t>
  </si>
  <si>
    <t>kWh/year?</t>
  </si>
  <si>
    <t>For 805 kg</t>
  </si>
  <si>
    <t>kWh/kg ww sludge</t>
  </si>
  <si>
    <t>MJ/startup/kg ww</t>
  </si>
  <si>
    <t>CO2_INC</t>
  </si>
  <si>
    <t>TK1</t>
  </si>
  <si>
    <t>TK2</t>
  </si>
  <si>
    <t>TK3</t>
  </si>
  <si>
    <t>TK4a</t>
  </si>
  <si>
    <t>TK4b</t>
  </si>
  <si>
    <t>Guide til LCI-dokument</t>
  </si>
  <si>
    <t>Ecoinvent processer/easetech processes</t>
  </si>
  <si>
    <t>Parameters for Anaerobic Digestion modeling group [1]</t>
  </si>
  <si>
    <t xml:space="preserve">Pollution emission to air (unspecified) as elementary exchanges in stationary engines [3-6] </t>
  </si>
  <si>
    <t>Fugitive Loss of biogas emissions to air (unspecified)*</t>
  </si>
  <si>
    <t xml:space="preserve"> Energy and material consumption for the dewatering process [1] </t>
  </si>
  <si>
    <t>Transfer coefficient of fraction transferred to dewatered sludge</t>
  </si>
  <si>
    <t>wastewater, average,market for wastewater, average,Europe without Switzerland. Modified and substracted rural and urban sewergrid emissions.</t>
  </si>
  <si>
    <t>Beregning, således der opnås 23% TS-indhold</t>
  </si>
  <si>
    <t>Use-on-Land</t>
  </si>
  <si>
    <t>Sewage sludge dewatered anaerobically digested, Use on land, Coarse sand soil – Ave. DK Crop rotation (High), DK, 2015, kg</t>
  </si>
  <si>
    <t>Mineral fertilizer, Use on land, Coarse sand soil – Ave. DK Crop rotation (High), DK, 2015, kg</t>
  </si>
  <si>
    <t>Direct emissions</t>
  </si>
  <si>
    <t>Avoided emissions</t>
  </si>
  <si>
    <t>Module</t>
  </si>
  <si>
    <t>Substitution of P</t>
  </si>
  <si>
    <t>Substitution of N</t>
  </si>
  <si>
    <t>P_subs_dew</t>
  </si>
  <si>
    <t>Easetech modules used</t>
  </si>
  <si>
    <t>Substitution taken into account for the external processes and elementary exchanges.</t>
  </si>
  <si>
    <t>Substitution taken into account for the external processes.</t>
  </si>
  <si>
    <t>Default (Biofos)</t>
  </si>
  <si>
    <t>(Vancenter Syd)</t>
  </si>
  <si>
    <t xml:space="preserve">
(Kirkeby et al., 2013)</t>
  </si>
  <si>
    <r>
      <t xml:space="preserve">(Chang </t>
    </r>
    <r>
      <rPr>
        <i/>
        <sz val="10"/>
        <color theme="1"/>
        <rFont val="Arial"/>
        <family val="2"/>
      </rPr>
      <t>et al.</t>
    </r>
    <r>
      <rPr>
        <sz val="10"/>
        <color theme="1"/>
        <rFont val="Arial"/>
        <family val="2"/>
      </rPr>
      <t>, 2023)</t>
    </r>
  </si>
  <si>
    <r>
      <t xml:space="preserve">(Chang </t>
    </r>
    <r>
      <rPr>
        <b/>
        <i/>
        <sz val="10"/>
        <color theme="1"/>
        <rFont val="Arial"/>
        <family val="2"/>
      </rPr>
      <t>et al.</t>
    </r>
    <r>
      <rPr>
        <b/>
        <sz val="10"/>
        <color theme="1"/>
        <rFont val="Arial"/>
        <family val="2"/>
      </rPr>
      <t>, 2023)</t>
    </r>
  </si>
  <si>
    <r>
      <t xml:space="preserve">(Faragò </t>
    </r>
    <r>
      <rPr>
        <i/>
        <sz val="10"/>
        <color theme="1"/>
        <rFont val="Arial"/>
        <family val="2"/>
      </rPr>
      <t>et al.</t>
    </r>
    <r>
      <rPr>
        <sz val="10"/>
        <color theme="1"/>
        <rFont val="Arial"/>
        <family val="2"/>
      </rPr>
      <t>, 2021)</t>
    </r>
  </si>
  <si>
    <r>
      <t xml:space="preserve">Chang, H. </t>
    </r>
    <r>
      <rPr>
        <i/>
        <sz val="10"/>
        <color theme="1"/>
        <rFont val="Arial"/>
        <family val="2"/>
      </rPr>
      <t>et al.</t>
    </r>
    <r>
      <rPr>
        <sz val="10"/>
        <color theme="1"/>
        <rFont val="Arial"/>
        <family val="2"/>
      </rPr>
      <t xml:space="preserve"> (2023) ‘Climate change impacts of conventional sewage sludge treatment and disposal’, </t>
    </r>
    <r>
      <rPr>
        <i/>
        <sz val="10"/>
        <color theme="1"/>
        <rFont val="Arial"/>
        <family val="2"/>
      </rPr>
      <t>Water Research</t>
    </r>
    <r>
      <rPr>
        <sz val="10"/>
        <color theme="1"/>
        <rFont val="Arial"/>
        <family val="2"/>
      </rPr>
      <t>, 240. Available at: https://doi.org/10.1016/j.watres.2023.120109.</t>
    </r>
  </si>
  <si>
    <r>
      <t xml:space="preserve">Faragò, M. </t>
    </r>
    <r>
      <rPr>
        <i/>
        <sz val="10"/>
        <color theme="1"/>
        <rFont val="Arial"/>
        <family val="2"/>
      </rPr>
      <t>et al.</t>
    </r>
    <r>
      <rPr>
        <sz val="10"/>
        <color theme="1"/>
        <rFont val="Arial"/>
        <family val="2"/>
      </rPr>
      <t xml:space="preserve"> (2021) ‘From wastewater treatment to water resource recovery: Environmental and economic impacts of full-scale implementation’, </t>
    </r>
    <r>
      <rPr>
        <i/>
        <sz val="10"/>
        <color theme="1"/>
        <rFont val="Arial"/>
        <family val="2"/>
      </rPr>
      <t>Water Research</t>
    </r>
    <r>
      <rPr>
        <sz val="10"/>
        <color theme="1"/>
        <rFont val="Arial"/>
        <family val="2"/>
      </rPr>
      <t>, 204. Available at: https://doi.org/10.1016/j.watres.2021.117554.</t>
    </r>
  </si>
  <si>
    <r>
      <t xml:space="preserve">Faragò, M. </t>
    </r>
    <r>
      <rPr>
        <i/>
        <sz val="10"/>
        <color theme="1"/>
        <rFont val="Arial"/>
        <family val="2"/>
      </rPr>
      <t>et al.</t>
    </r>
    <r>
      <rPr>
        <sz val="10"/>
        <color theme="1"/>
        <rFont val="Arial"/>
        <family val="2"/>
      </rPr>
      <t xml:space="preserve"> (2022) ‘Life Cycle Assessment and Cost-Benefit Analysis of Technologies in Water Resource Recovery Facilities: The Case of Sludge Pyrolysis’, </t>
    </r>
    <r>
      <rPr>
        <i/>
        <sz val="10"/>
        <color theme="1"/>
        <rFont val="Arial"/>
        <family val="2"/>
      </rPr>
      <t>Environmental Science and Technology</t>
    </r>
    <r>
      <rPr>
        <sz val="10"/>
        <color theme="1"/>
        <rFont val="Arial"/>
        <family val="2"/>
      </rPr>
      <t>, 56(24), pp. 17988–17997. Available at: https://doi.org/10.1021/acs.est.2c06083.</t>
    </r>
  </si>
  <si>
    <r>
      <t xml:space="preserve">Kirkeby, J. </t>
    </r>
    <r>
      <rPr>
        <i/>
        <sz val="10"/>
        <color theme="1"/>
        <rFont val="Arial"/>
        <family val="2"/>
      </rPr>
      <t>et al.</t>
    </r>
    <r>
      <rPr>
        <sz val="10"/>
        <color theme="1"/>
        <rFont val="Arial"/>
        <family val="2"/>
      </rPr>
      <t xml:space="preserve"> (2013) </t>
    </r>
    <r>
      <rPr>
        <i/>
        <sz val="10"/>
        <color theme="1"/>
        <rFont val="Arial"/>
        <family val="2"/>
      </rPr>
      <t>Livscyklusvurdering og samfundsøkonomisk analyse for anvendelse af spildevandsslam</t>
    </r>
    <r>
      <rPr>
        <sz val="10"/>
        <color theme="1"/>
        <rFont val="Arial"/>
        <family val="2"/>
      </rPr>
      <t>.</t>
    </r>
  </si>
  <si>
    <r>
      <t xml:space="preserve">Krisa, D.M. (2022) </t>
    </r>
    <r>
      <rPr>
        <i/>
        <sz val="10"/>
        <color theme="1"/>
        <rFont val="Arial"/>
        <family val="2"/>
      </rPr>
      <t>Life-cycle assessment of different sludge treatment technologies in Denmark with focus on pyrolysis, Livscyklusvurdering af forskellige slambehandlingsteknologier i Danmark med fokus på pyrolyse</t>
    </r>
    <r>
      <rPr>
        <sz val="10"/>
        <color theme="1"/>
        <rFont val="Arial"/>
        <family val="2"/>
      </rPr>
      <t>. Master’s thesis. Danmarks Tekniske Universitet.</t>
    </r>
  </si>
  <si>
    <r>
      <t xml:space="preserve">Larsen, J.D. </t>
    </r>
    <r>
      <rPr>
        <i/>
        <sz val="10"/>
        <color theme="1"/>
        <rFont val="Arial"/>
        <family val="2"/>
      </rPr>
      <t>et al.</t>
    </r>
    <r>
      <rPr>
        <sz val="10"/>
        <color theme="1"/>
        <rFont val="Arial"/>
        <family val="2"/>
      </rPr>
      <t xml:space="preserve"> (2018) ‘Life cycle assessment comparing the treatment of surplus activated sludge in a sludge treatment reed bed system with mechanical treatment on centrifuge’, </t>
    </r>
    <r>
      <rPr>
        <i/>
        <sz val="10"/>
        <color theme="1"/>
        <rFont val="Arial"/>
        <family val="2"/>
      </rPr>
      <t>Journal of Cleaner Production</t>
    </r>
    <r>
      <rPr>
        <sz val="10"/>
        <color theme="1"/>
        <rFont val="Arial"/>
        <family val="2"/>
      </rPr>
      <t>, 185, pp. 148–156. Available at: https://doi.org/10.1016/j.jclepro.2018.02.193.</t>
    </r>
  </si>
  <si>
    <r>
      <t xml:space="preserve">Nielsen, B. </t>
    </r>
    <r>
      <rPr>
        <i/>
        <sz val="10"/>
        <color theme="1"/>
        <rFont val="Arial"/>
        <family val="2"/>
      </rPr>
      <t>et al.</t>
    </r>
    <r>
      <rPr>
        <sz val="10"/>
        <color theme="1"/>
        <rFont val="Arial"/>
        <family val="2"/>
      </rPr>
      <t xml:space="preserve"> (2009) ‘Håndtering af spildevandsslam Katalog over metoder til behandling og slutdisponering’. Skanderborg: DANVA.</t>
    </r>
  </si>
  <si>
    <t>TK1: Dewatering</t>
  </si>
  <si>
    <t>Source (default</t>
  </si>
  <si>
    <t>Source 2</t>
  </si>
  <si>
    <t>Distribution is based on (Chang et al., 2023).</t>
  </si>
  <si>
    <t xml:space="preserve">Source 3: </t>
  </si>
  <si>
    <t>Source 2:</t>
  </si>
  <si>
    <t>Source 3</t>
  </si>
  <si>
    <t>Incineration with drying unit.</t>
  </si>
  <si>
    <t>Substracted if internal use of energy eg. Biogas from the AD in WWTP.</t>
  </si>
  <si>
    <t>Onsite Incineration of dewatered sludge (Faragò et al., 2021)</t>
  </si>
  <si>
    <r>
      <t>Unit  [ /yr</t>
    </r>
    <r>
      <rPr>
        <b/>
        <vertAlign val="superscript"/>
        <sz val="11"/>
        <rFont val="Aptos Narrow"/>
        <family val="2"/>
        <scheme val="minor"/>
      </rPr>
      <t>-1</t>
    </r>
    <r>
      <rPr>
        <b/>
        <sz val="11"/>
        <rFont val="Aptos Narrow"/>
        <family val="2"/>
        <scheme val="minor"/>
      </rPr>
      <t>]</t>
    </r>
  </si>
  <si>
    <t>Calculations</t>
  </si>
  <si>
    <t>Data from  
(Kirkeby et al., 2013)</t>
  </si>
  <si>
    <t>External energy consumption during Incineration</t>
  </si>
  <si>
    <t xml:space="preserve">Chemical agents consumption during flue gas clean system </t>
  </si>
  <si>
    <t xml:space="preserve">Flue gas emission to air (non-urban air or from high stacks) during incineration </t>
  </si>
  <si>
    <t>TK2 - Incineration</t>
  </si>
  <si>
    <t>Beregnininger</t>
  </si>
  <si>
    <t>Source 1</t>
  </si>
  <si>
    <t>Source (defaiult)</t>
  </si>
  <si>
    <t>Transfer coefficient of energy and material in different scenario</t>
  </si>
  <si>
    <t>TK3 - Pyrolysis</t>
  </si>
  <si>
    <t>Field application of biochar: Direct emissions</t>
  </si>
  <si>
    <t>Numbers resemble Farago.</t>
  </si>
  <si>
    <t xml:space="preserve">Calculations: Based </t>
  </si>
  <si>
    <t>Distributions of elements and nutrients between the different products</t>
  </si>
  <si>
    <t>Distribution of elements:  (Krisa, 2022)</t>
  </si>
  <si>
    <t>Raw data from (Larsen et al., 2018)</t>
  </si>
  <si>
    <t>Data is from (Larsen et al., 2018) unless otherwise stated.</t>
  </si>
  <si>
    <r>
      <t xml:space="preserve">(Kirkeby </t>
    </r>
    <r>
      <rPr>
        <i/>
        <sz val="10"/>
        <color theme="1"/>
        <rFont val="Arial"/>
        <family val="2"/>
      </rPr>
      <t>et al.</t>
    </r>
    <r>
      <rPr>
        <sz val="10"/>
        <color theme="1"/>
        <rFont val="Arial"/>
        <family val="2"/>
      </rPr>
      <t>, 2013)</t>
    </r>
  </si>
  <si>
    <r>
      <t xml:space="preserve">(Larsen </t>
    </r>
    <r>
      <rPr>
        <i/>
        <sz val="10"/>
        <color theme="1"/>
        <rFont val="Arial"/>
        <family val="2"/>
      </rPr>
      <t>et al.</t>
    </r>
    <r>
      <rPr>
        <sz val="10"/>
        <color theme="1"/>
        <rFont val="Arial"/>
        <family val="2"/>
      </rPr>
      <t>, 2018)</t>
    </r>
  </si>
  <si>
    <t>Mineralisation (Kirkeby et al., 2013)</t>
  </si>
  <si>
    <t>Amount (Kirkeby et al., 2013)</t>
  </si>
  <si>
    <t>Consumption data for the scenarios included in the life cycle assessment (LCA).</t>
  </si>
  <si>
    <r>
      <rPr>
        <sz val="11"/>
        <color rgb="FF000000"/>
        <rFont val="Times New Roman"/>
        <family val="1"/>
      </rPr>
      <t xml:space="preserve">Average daily gas emission rates based on gas emission rates from treatment in an STRB system and solar drying at a </t>
    </r>
    <r>
      <rPr>
        <sz val="12"/>
        <color rgb="FF000000"/>
        <rFont val="Times New Roman"/>
        <family val="1"/>
      </rPr>
      <t>stockpile area</t>
    </r>
    <r>
      <rPr>
        <sz val="11"/>
        <color rgb="FF000000"/>
        <rFont val="Times New Roman"/>
        <family val="1"/>
      </rPr>
      <t>.</t>
    </r>
  </si>
  <si>
    <t>Shares of substances allocated to reject water, mineralisation, evaporation and dewatered sludge during 12 years of treatment in an STRB system and four months of solar drying at a stockpile area. Within each unit process (a and b), the flow of each substance sums up to 100%.</t>
  </si>
  <si>
    <t>TK4a, TK4b</t>
  </si>
  <si>
    <t xml:space="preserve">Fate of carbon after applying sludge residues on a sandy loam soil under an average Danish precipitation regime compared to applying mineral fertiliser. </t>
  </si>
  <si>
    <t>Fate of carbon after applying sludge residues on sandy loam soil.</t>
  </si>
  <si>
    <t>Fate of nitrogen after the application of sludge residues on a sandy loam soil under an average Danish precipitation regime compared to applying mineral fertiliser.</t>
  </si>
  <si>
    <t>Field application: Direct emissions</t>
  </si>
  <si>
    <t>Mineralisation and storage</t>
  </si>
  <si>
    <t>Daily operations</t>
  </si>
  <si>
    <t xml:space="preserve">Source default </t>
  </si>
  <si>
    <t>LCI data covering AD, dewatering and Use-on-land.</t>
  </si>
  <si>
    <t>LCI data covering Incineration and Use-on-land.</t>
  </si>
  <si>
    <t>LCI data covering steam-drying and Use-on-land.</t>
  </si>
  <si>
    <t>TK4</t>
  </si>
  <si>
    <t>LCI data covering mineralisation (TK4a), mineralisation and subsequent storage (TK4b).</t>
  </si>
  <si>
    <t>Sheet</t>
  </si>
  <si>
    <t>Reference list</t>
  </si>
  <si>
    <t>TK4: Mineralisation</t>
  </si>
  <si>
    <t>References used in the inventories</t>
  </si>
  <si>
    <t>The following sheets contain the data used in the modelling in EASETECH</t>
  </si>
  <si>
    <t>Name</t>
  </si>
  <si>
    <t>Sum</t>
  </si>
  <si>
    <t>TK1 - Dewatering</t>
  </si>
  <si>
    <t>CTUh</t>
  </si>
  <si>
    <t>CTUe</t>
  </si>
  <si>
    <t>EF3.1 - a. Climate change- wo LT</t>
  </si>
  <si>
    <t>EF3.1 - b. Ozone depletion- wo LT</t>
  </si>
  <si>
    <t>EF3.1 - c. Human toxicity, cancer- wo LT</t>
  </si>
  <si>
    <t>EF3.1 - d. Human toxicity, non-carcinogenic- wo LT</t>
  </si>
  <si>
    <t>EF3.1 - e. Particulate matter- wo LT</t>
  </si>
  <si>
    <t>EF3.1 - f. Ionising radiation- wo LT</t>
  </si>
  <si>
    <t>EF3.1 - g. Photochemical ozone formation - wo LT</t>
  </si>
  <si>
    <t>EF3.1 - h. Acidification- wo LT</t>
  </si>
  <si>
    <t>EF3.1 - i. Eurtophication, terrestrial - wo LT</t>
  </si>
  <si>
    <t>EF3.1 - j. Eurtophication, freshwater - wo LT</t>
  </si>
  <si>
    <t>EF3.1 - k. Eurtophication, marine - wo LT</t>
  </si>
  <si>
    <t>EF3.1 - l. Ecotoxicity freshwater- wo LT</t>
  </si>
  <si>
    <t>EF3.1 - m. Land use- wo LT</t>
  </si>
  <si>
    <t>EF3.1 - n. Water use- wo LT</t>
  </si>
  <si>
    <t>EF3.1 - o. Resource use, minerals and metals- wo LT</t>
  </si>
  <si>
    <t>EF3.1 - p. Resource use, energy carrier- wo LT</t>
  </si>
  <si>
    <t>kg CO2-Eq</t>
  </si>
  <si>
    <t>kg CFC-11-Eq</t>
  </si>
  <si>
    <t>disease incidence</t>
  </si>
  <si>
    <t>kBq U235-Eq</t>
  </si>
  <si>
    <t>kg NMVOC-Eq</t>
  </si>
  <si>
    <t>mol H+-Eq</t>
  </si>
  <si>
    <t>mol N-Eq</t>
  </si>
  <si>
    <t>kg P-Eq</t>
  </si>
  <si>
    <t>kg N-Eq</t>
  </si>
  <si>
    <t>dimensionless</t>
  </si>
  <si>
    <t>m3 world Eq deprived</t>
  </si>
  <si>
    <t>kg Sb-Eq</t>
  </si>
  <si>
    <t>MJ, net calorific value</t>
  </si>
  <si>
    <t>TK4 - Mineralisation</t>
  </si>
  <si>
    <t>Anaerob forgasning</t>
  </si>
  <si>
    <t>Forbrænding</t>
  </si>
  <si>
    <t>Spildevand</t>
  </si>
  <si>
    <t>Aske på landbrugsland</t>
  </si>
  <si>
    <t>Afgasset slam på landbrugsland</t>
  </si>
  <si>
    <t>Spildevand fra afvanding</t>
  </si>
  <si>
    <t>Pyrolyse</t>
  </si>
  <si>
    <t>Biokoks på landbrugsjord</t>
  </si>
  <si>
    <t>Mineralisering</t>
  </si>
  <si>
    <t>Mineraliseret slam på landbrugsjord</t>
  </si>
  <si>
    <t>Mineralisering opbevaring</t>
  </si>
  <si>
    <t>Mineraliseret slam på landbrugsland</t>
  </si>
  <si>
    <t>Anaerob forgasning, forbrænding og spredning af aske på landbrugsjord</t>
  </si>
  <si>
    <t>Anaerob forgasning og spredning af slam på landbrugsjord</t>
  </si>
  <si>
    <t>Anaerob forgasning, pyrolyse og spredning af biokoks på landbrugsjord</t>
  </si>
  <si>
    <t>Mineralisering, og spredning af mineraliseret slam på landbrugsjord</t>
  </si>
  <si>
    <t>Mineralisering, opbevaring i slamhotel, og spredning af mineraliseret slam på landbrugsjord</t>
  </si>
  <si>
    <t>TK5 - Mineralisation w. storage</t>
  </si>
  <si>
    <t>TK1 - Afvanding</t>
  </si>
  <si>
    <t>TK2 - Forbrænding</t>
  </si>
  <si>
    <t>TK3 - Pyrolyse</t>
  </si>
  <si>
    <t>TK4 - Mineralisering</t>
  </si>
  <si>
    <t>TK5 - Mineralisering (m. opbevaring)</t>
  </si>
  <si>
    <t>Klimapvirkning</t>
  </si>
  <si>
    <t>P tilgængelighed</t>
  </si>
  <si>
    <t>Scenarie sammenligning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</si>
</sst>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5" formatCode="0.0000%"/>
    <numFmt numFmtId="166" formatCode="0.00000"/>
    <numFmt numFmtId="167" formatCode="0.0"/>
    <numFmt numFmtId="168" formatCode="0.000"/>
    <numFmt numFmtId="169" formatCode="0.00000000"/>
    <numFmt numFmtId="170" formatCode="0.000000000000000"/>
    <numFmt numFmtId="171" formatCode="0.0000000000"/>
  </numFmts>
  <fonts count="55" x14ac:knownFonts="1">
    <font>
      <sz val="11"/>
      <color theme="1"/>
      <name val="Aptos Narrow"/>
      <family val="2"/>
      <scheme val="minor"/>
    </font>
    <font>
      <b/>
      <sz val="11"/>
      <color theme="1"/>
      <name val="Aptos Narrow"/>
      <family val="2"/>
      <scheme val="minor"/>
    </font>
    <font>
      <sz val="8"/>
      <name val="Aptos Narrow"/>
      <family val="2"/>
      <scheme val="minor"/>
    </font>
    <font>
      <sz val="8"/>
      <color rgb="FF000000"/>
      <name val="Times New Roman"/>
      <family val="1"/>
    </font>
    <font>
      <b/>
      <sz val="8"/>
      <color rgb="FF000000"/>
      <name val="Times New Roman"/>
      <family val="1"/>
    </font>
    <font>
      <sz val="8"/>
      <color theme="1"/>
      <name val="Times New Roman"/>
      <family val="1"/>
    </font>
    <font>
      <b/>
      <u/>
      <sz val="11"/>
      <color theme="1"/>
      <name val="Aptos Narrow"/>
      <family val="2"/>
      <scheme val="minor"/>
    </font>
    <font>
      <b/>
      <sz val="14"/>
      <color theme="1"/>
      <name val="Aptos Narrow"/>
      <family val="2"/>
      <scheme val="minor"/>
    </font>
    <font>
      <sz val="11"/>
      <color theme="1"/>
      <name val="Calibri"/>
      <family val="2"/>
    </font>
    <font>
      <sz val="8"/>
      <color rgb="FF000000"/>
      <name val="Calibri"/>
      <family val="2"/>
    </font>
    <font>
      <b/>
      <sz val="8"/>
      <color rgb="FF000000"/>
      <name val="Calibri"/>
      <family val="2"/>
    </font>
    <font>
      <vertAlign val="superscript"/>
      <sz val="8"/>
      <color rgb="FF000000"/>
      <name val="Calibri"/>
      <family val="2"/>
    </font>
    <font>
      <vertAlign val="subscript"/>
      <sz val="8"/>
      <color rgb="FF000000"/>
      <name val="Calibri"/>
      <family val="2"/>
    </font>
    <font>
      <b/>
      <vertAlign val="subscript"/>
      <sz val="8"/>
      <color rgb="FF000000"/>
      <name val="Calibri"/>
      <family val="2"/>
    </font>
    <font>
      <sz val="11"/>
      <color rgb="FF000000"/>
      <name val="Times New Roman"/>
      <family val="1"/>
    </font>
    <font>
      <b/>
      <sz val="11"/>
      <color rgb="FF000000"/>
      <name val="Times New Roman"/>
      <family val="1"/>
    </font>
    <font>
      <sz val="11"/>
      <color rgb="FF000000"/>
      <name val="Calibri"/>
      <family val="2"/>
    </font>
    <font>
      <i/>
      <sz val="11"/>
      <color rgb="FF44546A"/>
      <name val="Calibri"/>
      <family val="2"/>
    </font>
    <font>
      <b/>
      <sz val="12"/>
      <color rgb="FF000000"/>
      <name val="Times New Roman"/>
      <family val="1"/>
    </font>
    <font>
      <b/>
      <sz val="12"/>
      <color theme="1"/>
      <name val="Aptos Narrow"/>
      <family val="2"/>
      <scheme val="minor"/>
    </font>
    <font>
      <b/>
      <sz val="10"/>
      <color rgb="FF000000"/>
      <name val="Times New Roman"/>
      <family val="1"/>
    </font>
    <font>
      <sz val="10"/>
      <color rgb="FF000000"/>
      <name val="Times New Roman"/>
      <family val="1"/>
    </font>
    <font>
      <vertAlign val="superscript"/>
      <sz val="10"/>
      <color rgb="FF000000"/>
      <name val="Times New Roman"/>
      <family val="1"/>
    </font>
    <font>
      <sz val="8"/>
      <color theme="1"/>
      <name val="Calibri"/>
      <family val="2"/>
    </font>
    <font>
      <sz val="10"/>
      <color theme="1"/>
      <name val="Calibri"/>
      <family val="2"/>
    </font>
    <font>
      <vertAlign val="subscript"/>
      <sz val="10"/>
      <color rgb="FF000000"/>
      <name val="Times New Roman"/>
      <family val="1"/>
    </font>
    <font>
      <b/>
      <sz val="16"/>
      <color theme="1"/>
      <name val="Aptos Narrow"/>
      <family val="2"/>
      <scheme val="minor"/>
    </font>
    <font>
      <sz val="12"/>
      <color rgb="FF000000"/>
      <name val="Times New Roman"/>
      <family val="1"/>
    </font>
    <font>
      <sz val="9"/>
      <color rgb="FF000000"/>
      <name val="Times New Roman"/>
      <family val="1"/>
    </font>
    <font>
      <vertAlign val="superscript"/>
      <sz val="9"/>
      <color rgb="FF000000"/>
      <name val="Times New Roman"/>
      <family val="1"/>
    </font>
    <font>
      <b/>
      <vertAlign val="subscript"/>
      <sz val="10"/>
      <color rgb="FF000000"/>
      <name val="Times New Roman"/>
      <family val="1"/>
    </font>
    <font>
      <b/>
      <vertAlign val="superscript"/>
      <sz val="10"/>
      <color rgb="FF000000"/>
      <name val="Times New Roman"/>
      <family val="1"/>
    </font>
    <font>
      <b/>
      <i/>
      <sz val="10"/>
      <color rgb="FF000000"/>
      <name val="Times New Roman"/>
      <family val="1"/>
    </font>
    <font>
      <sz val="11"/>
      <color theme="1"/>
      <name val="Times New Roman"/>
      <family val="1"/>
    </font>
    <font>
      <b/>
      <sz val="10"/>
      <color theme="1"/>
      <name val="Times New Roman"/>
      <family val="1"/>
    </font>
    <font>
      <sz val="10"/>
      <color theme="1"/>
      <name val="Times New Roman"/>
      <family val="1"/>
    </font>
    <font>
      <vertAlign val="superscript"/>
      <sz val="10"/>
      <color theme="1"/>
      <name val="Times New Roman"/>
      <family val="1"/>
    </font>
    <font>
      <vertAlign val="subscript"/>
      <sz val="10"/>
      <color theme="1"/>
      <name val="Times New Roman"/>
      <family val="1"/>
    </font>
    <font>
      <vertAlign val="superscript"/>
      <sz val="11"/>
      <color theme="1"/>
      <name val="Aptos Narrow"/>
      <family val="1"/>
      <scheme val="minor"/>
    </font>
    <font>
      <sz val="11"/>
      <color theme="1"/>
      <name val="Aptos Narrow"/>
      <family val="1"/>
      <scheme val="minor"/>
    </font>
    <font>
      <b/>
      <vertAlign val="subscript"/>
      <sz val="11"/>
      <color rgb="FF000000"/>
      <name val="Times New Roman"/>
      <family val="1"/>
    </font>
    <font>
      <sz val="11"/>
      <color theme="1"/>
      <name val="Aptos Narrow"/>
      <family val="2"/>
      <scheme val="minor"/>
    </font>
    <font>
      <sz val="11"/>
      <color rgb="FFFF0000"/>
      <name val="Aptos Narrow"/>
      <family val="2"/>
      <scheme val="minor"/>
    </font>
    <font>
      <b/>
      <i/>
      <sz val="8"/>
      <color rgb="FF000000"/>
      <name val="Calibri"/>
      <family val="2"/>
    </font>
    <font>
      <sz val="11"/>
      <color rgb="FF000000"/>
      <name val="Book Antiqua"/>
      <family val="1"/>
    </font>
    <font>
      <b/>
      <sz val="18"/>
      <color theme="1"/>
      <name val="Aptos Narrow"/>
      <family val="2"/>
      <scheme val="minor"/>
    </font>
    <font>
      <b/>
      <sz val="22"/>
      <color theme="1"/>
      <name val="Aptos Narrow"/>
      <family val="2"/>
      <scheme val="minor"/>
    </font>
    <font>
      <sz val="10"/>
      <color theme="1"/>
      <name val="Arial"/>
      <family val="2"/>
    </font>
    <font>
      <i/>
      <sz val="10"/>
      <color theme="1"/>
      <name val="Arial"/>
      <family val="2"/>
    </font>
    <font>
      <b/>
      <sz val="10"/>
      <color theme="1"/>
      <name val="Arial"/>
      <family val="2"/>
    </font>
    <font>
      <b/>
      <i/>
      <sz val="10"/>
      <color theme="1"/>
      <name val="Arial"/>
      <family val="2"/>
    </font>
    <font>
      <b/>
      <sz val="9"/>
      <name val="Arial"/>
      <family val="2"/>
    </font>
    <font>
      <b/>
      <sz val="11"/>
      <name val="Aptos Narrow"/>
      <family val="2"/>
      <scheme val="minor"/>
    </font>
    <font>
      <b/>
      <vertAlign val="superscript"/>
      <sz val="11"/>
      <name val="Aptos Narrow"/>
      <family val="2"/>
      <scheme val="minor"/>
    </font>
    <font>
      <sz val="10"/>
      <color rgb="FF000000"/>
      <name val="Arial"/>
      <family val="2"/>
    </font>
  </fonts>
  <fills count="24">
    <fill>
      <patternFill patternType="none"/>
    </fill>
    <fill>
      <patternFill patternType="gray125"/>
    </fill>
    <fill>
      <patternFill patternType="solid">
        <fgColor theme="4" tint="0.79998168889431442"/>
        <bgColor indexed="64"/>
      </patternFill>
    </fill>
    <fill>
      <patternFill patternType="solid">
        <fgColor rgb="FFFFFF00"/>
        <bgColor indexed="64"/>
      </patternFill>
    </fill>
    <fill>
      <patternFill patternType="solid">
        <fgColor theme="9"/>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F2F2F2"/>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theme="2" tint="-9.9978637043366805E-2"/>
        <bgColor indexed="64"/>
      </patternFill>
    </fill>
    <fill>
      <patternFill patternType="solid">
        <fgColor rgb="FFE7E6E6"/>
        <bgColor indexed="64"/>
      </patternFill>
    </fill>
    <fill>
      <patternFill patternType="solid">
        <fgColor rgb="FFD9D9D9"/>
        <bgColor indexed="64"/>
      </patternFill>
    </fill>
    <fill>
      <patternFill patternType="solid">
        <fgColor rgb="FFC0C0C0"/>
        <bgColor indexed="64"/>
      </patternFill>
    </fill>
    <fill>
      <patternFill patternType="solid">
        <fgColor rgb="FFBFBFBF"/>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rgb="FFFF0000"/>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rgb="FF00B050"/>
        <bgColor indexed="64"/>
      </patternFill>
    </fill>
    <fill>
      <patternFill patternType="solid">
        <fgColor theme="0" tint="-0.14999847407452621"/>
        <bgColor indexed="64"/>
      </patternFill>
    </fill>
    <fill>
      <patternFill patternType="solid">
        <fgColor theme="3" tint="0.89999084444715716"/>
        <bgColor indexed="64"/>
      </patternFill>
    </fill>
  </fills>
  <borders count="60">
    <border>
      <left/>
      <right/>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top/>
      <bottom style="thin">
        <color indexed="64"/>
      </bottom>
      <diagonal/>
    </border>
    <border>
      <left style="medium">
        <color rgb="FF000000"/>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thick">
        <color rgb="FF000000"/>
      </bottom>
      <diagonal/>
    </border>
    <border>
      <left/>
      <right style="medium">
        <color rgb="FF000000"/>
      </right>
      <top/>
      <bottom style="thick">
        <color rgb="FF000000"/>
      </bottom>
      <diagonal/>
    </border>
    <border>
      <left/>
      <right/>
      <top style="medium">
        <color indexed="64"/>
      </top>
      <bottom style="medium">
        <color indexed="64"/>
      </bottom>
      <diagonal/>
    </border>
    <border>
      <left/>
      <right/>
      <top style="medium">
        <color indexed="64"/>
      </top>
      <bottom/>
      <diagonal/>
    </border>
    <border>
      <left/>
      <right/>
      <top/>
      <bottom style="medium">
        <color rgb="FF000000"/>
      </bottom>
      <diagonal/>
    </border>
    <border>
      <left/>
      <right/>
      <top style="medium">
        <color rgb="FF000000"/>
      </top>
      <bottom/>
      <diagonal/>
    </border>
    <border>
      <left style="medium">
        <color rgb="FF000000"/>
      </left>
      <right style="medium">
        <color rgb="FF000000"/>
      </right>
      <top style="medium">
        <color rgb="FF000000"/>
      </top>
      <bottom style="thick">
        <color rgb="FF000000"/>
      </bottom>
      <diagonal/>
    </border>
    <border>
      <left/>
      <right style="medium">
        <color rgb="FF000000"/>
      </right>
      <top style="medium">
        <color rgb="FF000000"/>
      </top>
      <bottom style="thick">
        <color rgb="FF000000"/>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rgb="FF000000"/>
      </right>
      <top/>
      <bottom style="medium">
        <color indexed="64"/>
      </bottom>
      <diagonal/>
    </border>
    <border>
      <left/>
      <right style="medium">
        <color rgb="FF000000"/>
      </right>
      <top/>
      <bottom style="medium">
        <color indexed="64"/>
      </bottom>
      <diagonal/>
    </border>
    <border>
      <left/>
      <right/>
      <top style="thin">
        <color indexed="64"/>
      </top>
      <bottom style="medium">
        <color indexed="64"/>
      </bottom>
      <diagonal/>
    </border>
    <border>
      <left/>
      <right/>
      <top style="medium">
        <color rgb="FF000000"/>
      </top>
      <bottom style="thick">
        <color rgb="FF000000"/>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diagonal/>
    </border>
    <border>
      <left style="medium">
        <color indexed="64"/>
      </left>
      <right style="medium">
        <color rgb="FF000000"/>
      </right>
      <top style="medium">
        <color indexed="64"/>
      </top>
      <bottom style="thick">
        <color rgb="FF000000"/>
      </bottom>
      <diagonal/>
    </border>
    <border>
      <left/>
      <right style="medium">
        <color rgb="FF000000"/>
      </right>
      <top style="medium">
        <color indexed="64"/>
      </top>
      <bottom style="thick">
        <color rgb="FF000000"/>
      </bottom>
      <diagonal/>
    </border>
    <border>
      <left style="medium">
        <color indexed="64"/>
      </left>
      <right style="medium">
        <color rgb="FF000000"/>
      </right>
      <top/>
      <bottom style="medium">
        <color rgb="FF000000"/>
      </bottom>
      <diagonal/>
    </border>
    <border>
      <left style="thin">
        <color indexed="64"/>
      </left>
      <right/>
      <top style="medium">
        <color indexed="64"/>
      </top>
      <bottom style="medium">
        <color indexed="64"/>
      </bottom>
      <diagonal/>
    </border>
    <border>
      <left/>
      <right/>
      <top/>
      <bottom style="thick">
        <color rgb="FF000000"/>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s>
  <cellStyleXfs count="2">
    <xf numFmtId="0" fontId="0" fillId="0" borderId="0"/>
    <xf numFmtId="9" fontId="41" fillId="0" borderId="0" applyFont="0" applyFill="0" applyBorder="0" applyAlignment="0" applyProtection="0"/>
  </cellStyleXfs>
  <cellXfs count="448">
    <xf numFmtId="0" fontId="0" fillId="0" borderId="0" xfId="0"/>
    <xf numFmtId="0" fontId="0" fillId="0" borderId="1" xfId="0" applyBorder="1"/>
    <xf numFmtId="0" fontId="0" fillId="0" borderId="8" xfId="0" applyBorder="1"/>
    <xf numFmtId="0" fontId="0" fillId="3" borderId="0" xfId="0" applyFill="1"/>
    <xf numFmtId="0" fontId="3" fillId="0" borderId="4" xfId="0" applyFont="1" applyBorder="1" applyAlignment="1">
      <alignment horizontal="left" vertical="center"/>
    </xf>
    <xf numFmtId="0" fontId="3" fillId="0" borderId="0" xfId="0" applyFont="1" applyAlignment="1">
      <alignment horizontal="left" vertical="center"/>
    </xf>
    <xf numFmtId="0" fontId="3" fillId="0" borderId="0" xfId="0" applyFont="1" applyAlignment="1">
      <alignment vertical="center"/>
    </xf>
    <xf numFmtId="0" fontId="0" fillId="0" borderId="0" xfId="0" applyAlignment="1">
      <alignment vertical="center"/>
    </xf>
    <xf numFmtId="0" fontId="0" fillId="0" borderId="7" xfId="0" applyBorder="1"/>
    <xf numFmtId="0" fontId="0" fillId="0" borderId="9" xfId="0" applyBorder="1"/>
    <xf numFmtId="0" fontId="0" fillId="0" borderId="17" xfId="0" applyBorder="1"/>
    <xf numFmtId="0" fontId="0" fillId="0" borderId="2" xfId="0" applyBorder="1"/>
    <xf numFmtId="0" fontId="0" fillId="0" borderId="3" xfId="0" applyBorder="1"/>
    <xf numFmtId="0" fontId="0" fillId="0" borderId="18" xfId="0" applyBorder="1"/>
    <xf numFmtId="0" fontId="0" fillId="0" borderId="10" xfId="0" applyBorder="1"/>
    <xf numFmtId="0" fontId="0" fillId="0" borderId="11" xfId="0" applyBorder="1"/>
    <xf numFmtId="0" fontId="0" fillId="0" borderId="21" xfId="0" applyBorder="1"/>
    <xf numFmtId="0" fontId="0" fillId="0" borderId="0" xfId="0" applyAlignment="1">
      <alignment vertical="center" wrapText="1"/>
    </xf>
    <xf numFmtId="0" fontId="1" fillId="0" borderId="0" xfId="0" applyFont="1"/>
    <xf numFmtId="0" fontId="1" fillId="0" borderId="1" xfId="0" applyFont="1" applyBorder="1"/>
    <xf numFmtId="1" fontId="0" fillId="0" borderId="0" xfId="0" applyNumberFormat="1"/>
    <xf numFmtId="0" fontId="6" fillId="0" borderId="0" xfId="0" applyFont="1"/>
    <xf numFmtId="0" fontId="7" fillId="0" borderId="1" xfId="0" applyFont="1" applyBorder="1"/>
    <xf numFmtId="9" fontId="0" fillId="0" borderId="0" xfId="0" applyNumberFormat="1"/>
    <xf numFmtId="0" fontId="0" fillId="5" borderId="0" xfId="0" applyFill="1"/>
    <xf numFmtId="0" fontId="0" fillId="2" borderId="0" xfId="0" applyFill="1"/>
    <xf numFmtId="0" fontId="0" fillId="9" borderId="0" xfId="0" applyFill="1"/>
    <xf numFmtId="0" fontId="15" fillId="0" borderId="22" xfId="0" applyFont="1" applyBorder="1" applyAlignment="1">
      <alignment horizontal="center" vertical="center" wrapText="1"/>
    </xf>
    <xf numFmtId="0" fontId="14" fillId="0" borderId="23" xfId="0" applyFont="1" applyBorder="1" applyAlignment="1">
      <alignment horizontal="left" vertical="center" wrapText="1"/>
    </xf>
    <xf numFmtId="0" fontId="14" fillId="0" borderId="24" xfId="0" applyFont="1" applyBorder="1" applyAlignment="1">
      <alignment horizontal="left" vertical="center" wrapText="1"/>
    </xf>
    <xf numFmtId="0" fontId="14" fillId="0" borderId="25" xfId="0" applyFont="1" applyBorder="1" applyAlignment="1">
      <alignment horizontal="left" vertical="center" wrapText="1"/>
    </xf>
    <xf numFmtId="0" fontId="15" fillId="0" borderId="26" xfId="0" applyFont="1" applyBorder="1" applyAlignment="1">
      <alignment horizontal="left" vertical="center" wrapText="1"/>
    </xf>
    <xf numFmtId="0" fontId="15" fillId="0" borderId="26" xfId="0" applyFont="1" applyBorder="1" applyAlignment="1">
      <alignment horizontal="center" vertical="center" wrapText="1"/>
    </xf>
    <xf numFmtId="0" fontId="14" fillId="0" borderId="26" xfId="0" applyFont="1" applyBorder="1" applyAlignment="1">
      <alignment horizontal="center" vertical="center" wrapText="1"/>
    </xf>
    <xf numFmtId="9" fontId="14" fillId="0" borderId="26" xfId="0" applyNumberFormat="1" applyFont="1" applyBorder="1" applyAlignment="1">
      <alignment horizontal="center" vertical="center" wrapText="1"/>
    </xf>
    <xf numFmtId="9" fontId="14" fillId="0" borderId="26" xfId="0" applyNumberFormat="1" applyFont="1" applyBorder="1" applyAlignment="1">
      <alignment horizontal="left" vertical="center" wrapText="1"/>
    </xf>
    <xf numFmtId="10" fontId="14" fillId="0" borderId="26" xfId="0" applyNumberFormat="1" applyFont="1" applyBorder="1" applyAlignment="1">
      <alignment horizontal="left" vertical="center" wrapText="1"/>
    </xf>
    <xf numFmtId="0" fontId="14" fillId="0" borderId="27" xfId="0" applyFont="1" applyBorder="1" applyAlignment="1">
      <alignment horizontal="left" vertical="center" wrapText="1"/>
    </xf>
    <xf numFmtId="9" fontId="14" fillId="0" borderId="28" xfId="0" applyNumberFormat="1" applyFont="1" applyBorder="1" applyAlignment="1">
      <alignment horizontal="left" vertical="center" wrapText="1" indent="1"/>
    </xf>
    <xf numFmtId="0" fontId="14" fillId="0" borderId="28" xfId="0" applyFont="1" applyBorder="1" applyAlignment="1">
      <alignment horizontal="center" vertical="center" wrapText="1"/>
    </xf>
    <xf numFmtId="9" fontId="14" fillId="0" borderId="28" xfId="0" applyNumberFormat="1" applyFont="1" applyBorder="1" applyAlignment="1">
      <alignment horizontal="center" vertical="center" wrapText="1"/>
    </xf>
    <xf numFmtId="9" fontId="14" fillId="0" borderId="26" xfId="0" applyNumberFormat="1" applyFont="1" applyBorder="1" applyAlignment="1">
      <alignment horizontal="left" vertical="center" wrapText="1" indent="1"/>
    </xf>
    <xf numFmtId="0" fontId="16" fillId="0" borderId="25" xfId="0" applyFont="1" applyBorder="1" applyAlignment="1">
      <alignment horizontal="left" vertical="center" wrapText="1"/>
    </xf>
    <xf numFmtId="0" fontId="15" fillId="0" borderId="23" xfId="0" applyFont="1" applyBorder="1" applyAlignment="1">
      <alignment horizontal="left" vertical="center" wrapText="1"/>
    </xf>
    <xf numFmtId="0" fontId="15" fillId="0" borderId="0" xfId="0" applyFont="1"/>
    <xf numFmtId="0" fontId="14" fillId="0" borderId="22" xfId="0" applyFont="1" applyBorder="1" applyAlignment="1">
      <alignment horizontal="left" vertical="center" wrapText="1"/>
    </xf>
    <xf numFmtId="10" fontId="14" fillId="0" borderId="26" xfId="0" applyNumberFormat="1" applyFont="1" applyBorder="1" applyAlignment="1">
      <alignment horizontal="center" vertical="center" wrapText="1"/>
    </xf>
    <xf numFmtId="0" fontId="18" fillId="0" borderId="22" xfId="0" applyFont="1" applyBorder="1" applyAlignment="1">
      <alignment horizontal="center" vertical="center" wrapText="1"/>
    </xf>
    <xf numFmtId="10" fontId="14" fillId="0" borderId="28" xfId="0" applyNumberFormat="1" applyFont="1" applyBorder="1" applyAlignment="1">
      <alignment horizontal="center" vertical="center" wrapText="1"/>
    </xf>
    <xf numFmtId="0" fontId="14" fillId="0" borderId="0" xfId="0" applyFont="1" applyAlignment="1">
      <alignment horizontal="left" vertical="center"/>
    </xf>
    <xf numFmtId="0" fontId="19" fillId="0" borderId="1" xfId="0" applyFont="1" applyBorder="1"/>
    <xf numFmtId="0" fontId="21" fillId="12" borderId="0" xfId="0" applyFont="1" applyFill="1" applyAlignment="1">
      <alignment vertical="center" wrapText="1"/>
    </xf>
    <xf numFmtId="3" fontId="21" fillId="12" borderId="0" xfId="0" applyNumberFormat="1" applyFont="1" applyFill="1" applyAlignment="1">
      <alignment horizontal="center" vertical="center" wrapText="1"/>
    </xf>
    <xf numFmtId="0" fontId="21" fillId="0" borderId="0" xfId="0" applyFont="1" applyAlignment="1">
      <alignment vertical="center" wrapText="1"/>
    </xf>
    <xf numFmtId="0" fontId="21" fillId="0" borderId="0" xfId="0" applyFont="1" applyAlignment="1">
      <alignment horizontal="center" vertical="center" wrapText="1"/>
    </xf>
    <xf numFmtId="0" fontId="21" fillId="0" borderId="0" xfId="0" applyFont="1"/>
    <xf numFmtId="0" fontId="21" fillId="12" borderId="0" xfId="0" applyFont="1" applyFill="1" applyAlignment="1">
      <alignment horizontal="center" vertical="center" wrapText="1"/>
    </xf>
    <xf numFmtId="3" fontId="21" fillId="0" borderId="0" xfId="0" applyNumberFormat="1" applyFont="1" applyAlignment="1">
      <alignment horizontal="center" vertical="center" wrapText="1"/>
    </xf>
    <xf numFmtId="0" fontId="21" fillId="12" borderId="20" xfId="0" applyFont="1" applyFill="1" applyBorder="1" applyAlignment="1">
      <alignment vertical="center" wrapText="1"/>
    </xf>
    <xf numFmtId="16" fontId="21" fillId="12" borderId="20" xfId="0" applyNumberFormat="1" applyFont="1" applyFill="1" applyBorder="1" applyAlignment="1">
      <alignment horizontal="center" vertical="center" wrapText="1"/>
    </xf>
    <xf numFmtId="0" fontId="15" fillId="0" borderId="0" xfId="0" applyFont="1" applyAlignment="1">
      <alignment horizontal="justify" vertical="center"/>
    </xf>
    <xf numFmtId="0" fontId="20" fillId="0" borderId="29" xfId="0" applyFont="1" applyBorder="1" applyAlignment="1">
      <alignment vertical="center"/>
    </xf>
    <xf numFmtId="0" fontId="20" fillId="0" borderId="29" xfId="0" applyFont="1" applyBorder="1" applyAlignment="1">
      <alignment vertical="center" wrapText="1"/>
    </xf>
    <xf numFmtId="0" fontId="21" fillId="12" borderId="0" xfId="0" applyFont="1" applyFill="1" applyAlignment="1">
      <alignment vertical="center"/>
    </xf>
    <xf numFmtId="0" fontId="8" fillId="0" borderId="0" xfId="0" applyFont="1"/>
    <xf numFmtId="0" fontId="8" fillId="12" borderId="0" xfId="0" applyFont="1" applyFill="1" applyAlignment="1">
      <alignment vertical="top"/>
    </xf>
    <xf numFmtId="0" fontId="20" fillId="0" borderId="0" xfId="0" applyFont="1" applyAlignment="1">
      <alignment vertical="center"/>
    </xf>
    <xf numFmtId="0" fontId="21" fillId="0" borderId="0" xfId="0" applyFont="1" applyAlignment="1">
      <alignment vertical="center"/>
    </xf>
    <xf numFmtId="0" fontId="21" fillId="13" borderId="0" xfId="0" applyFont="1" applyFill="1" applyAlignment="1">
      <alignment vertical="center"/>
    </xf>
    <xf numFmtId="0" fontId="21" fillId="13" borderId="0" xfId="0" applyFont="1" applyFill="1" applyAlignment="1">
      <alignment vertical="center" wrapText="1"/>
    </xf>
    <xf numFmtId="0" fontId="20" fillId="0" borderId="30" xfId="0" applyFont="1" applyBorder="1" applyAlignment="1">
      <alignment horizontal="center" vertical="center"/>
    </xf>
    <xf numFmtId="0" fontId="21" fillId="12" borderId="30" xfId="0" applyFont="1" applyFill="1" applyBorder="1" applyAlignment="1">
      <alignment vertical="center"/>
    </xf>
    <xf numFmtId="11" fontId="21" fillId="0" borderId="0" xfId="0" applyNumberFormat="1" applyFont="1" applyAlignment="1">
      <alignment vertical="center"/>
    </xf>
    <xf numFmtId="0" fontId="8" fillId="12" borderId="0" xfId="0" applyFont="1" applyFill="1" applyAlignment="1">
      <alignment vertical="center"/>
    </xf>
    <xf numFmtId="0" fontId="21" fillId="0" borderId="20" xfId="0" applyFont="1" applyBorder="1" applyAlignment="1">
      <alignment vertical="center"/>
    </xf>
    <xf numFmtId="0" fontId="21" fillId="12" borderId="0" xfId="0" applyFont="1" applyFill="1" applyAlignment="1">
      <alignment horizontal="center" vertical="center"/>
    </xf>
    <xf numFmtId="0" fontId="23" fillId="0" borderId="0" xfId="0" applyFont="1" applyAlignment="1">
      <alignment vertical="center"/>
    </xf>
    <xf numFmtId="0" fontId="21" fillId="0" borderId="0" xfId="0" applyFont="1" applyAlignment="1">
      <alignment horizontal="center" vertical="center"/>
    </xf>
    <xf numFmtId="0" fontId="21" fillId="0" borderId="20" xfId="0" applyFont="1" applyBorder="1" applyAlignment="1">
      <alignment horizontal="center" vertical="center"/>
    </xf>
    <xf numFmtId="3" fontId="21" fillId="12" borderId="0" xfId="0" applyNumberFormat="1" applyFont="1" applyFill="1" applyAlignment="1">
      <alignment horizontal="center" vertical="center"/>
    </xf>
    <xf numFmtId="10" fontId="21" fillId="12" borderId="30" xfId="0" applyNumberFormat="1" applyFont="1" applyFill="1" applyBorder="1" applyAlignment="1">
      <alignment horizontal="center" vertical="center"/>
    </xf>
    <xf numFmtId="3" fontId="21" fillId="0" borderId="20" xfId="0" applyNumberFormat="1" applyFont="1" applyBorder="1" applyAlignment="1">
      <alignment horizontal="center" vertical="center"/>
    </xf>
    <xf numFmtId="10" fontId="21" fillId="0" borderId="20" xfId="0" applyNumberFormat="1" applyFont="1" applyBorder="1" applyAlignment="1">
      <alignment horizontal="center" vertical="center"/>
    </xf>
    <xf numFmtId="10" fontId="21" fillId="0" borderId="0" xfId="0" applyNumberFormat="1" applyFont="1" applyAlignment="1">
      <alignment horizontal="center" vertical="center"/>
    </xf>
    <xf numFmtId="0" fontId="21" fillId="12" borderId="20" xfId="0" applyFont="1" applyFill="1" applyBorder="1" applyAlignment="1">
      <alignment horizontal="center" vertical="center"/>
    </xf>
    <xf numFmtId="10" fontId="21" fillId="12" borderId="20" xfId="0" applyNumberFormat="1" applyFont="1" applyFill="1" applyBorder="1" applyAlignment="1">
      <alignment horizontal="center" vertical="center"/>
    </xf>
    <xf numFmtId="0" fontId="20" fillId="0" borderId="20" xfId="0" applyFont="1" applyBorder="1" applyAlignment="1">
      <alignment vertical="center"/>
    </xf>
    <xf numFmtId="0" fontId="26" fillId="0" borderId="0" xfId="0" applyFont="1"/>
    <xf numFmtId="0" fontId="26" fillId="0" borderId="17" xfId="0" applyFont="1" applyBorder="1"/>
    <xf numFmtId="0" fontId="20" fillId="0" borderId="30" xfId="0" applyFont="1" applyBorder="1" applyAlignment="1">
      <alignment vertical="center"/>
    </xf>
    <xf numFmtId="0" fontId="21" fillId="8" borderId="0" xfId="0" applyFont="1" applyFill="1" applyAlignment="1">
      <alignment vertical="center"/>
    </xf>
    <xf numFmtId="10" fontId="21" fillId="8" borderId="0" xfId="0" applyNumberFormat="1" applyFont="1" applyFill="1" applyAlignment="1">
      <alignment vertical="center"/>
    </xf>
    <xf numFmtId="0" fontId="8" fillId="0" borderId="0" xfId="0" applyFont="1" applyAlignment="1">
      <alignment vertical="center"/>
    </xf>
    <xf numFmtId="9" fontId="21" fillId="8" borderId="0" xfId="0" applyNumberFormat="1" applyFont="1" applyFill="1" applyAlignment="1">
      <alignment vertical="center"/>
    </xf>
    <xf numFmtId="10" fontId="21" fillId="0" borderId="0" xfId="0" applyNumberFormat="1" applyFont="1" applyAlignment="1">
      <alignment vertical="center"/>
    </xf>
    <xf numFmtId="0" fontId="21" fillId="8" borderId="20" xfId="0" applyFont="1" applyFill="1" applyBorder="1" applyAlignment="1">
      <alignment vertical="center"/>
    </xf>
    <xf numFmtId="10" fontId="21" fillId="8" borderId="20" xfId="0" applyNumberFormat="1" applyFont="1" applyFill="1" applyBorder="1" applyAlignment="1">
      <alignment vertical="center"/>
    </xf>
    <xf numFmtId="0" fontId="24" fillId="0" borderId="0" xfId="0" applyFont="1" applyAlignment="1">
      <alignment vertical="center"/>
    </xf>
    <xf numFmtId="0" fontId="21" fillId="12" borderId="30" xfId="0" applyFont="1" applyFill="1" applyBorder="1" applyAlignment="1">
      <alignment horizontal="center" vertical="center"/>
    </xf>
    <xf numFmtId="0" fontId="28" fillId="0" borderId="0" xfId="0" applyFont="1"/>
    <xf numFmtId="0" fontId="3" fillId="8" borderId="30" xfId="0" applyFont="1" applyFill="1" applyBorder="1" applyAlignment="1">
      <alignment vertical="center"/>
    </xf>
    <xf numFmtId="10" fontId="3" fillId="8" borderId="30" xfId="0" applyNumberFormat="1" applyFont="1" applyFill="1" applyBorder="1" applyAlignment="1">
      <alignment vertical="center"/>
    </xf>
    <xf numFmtId="9" fontId="3" fillId="8" borderId="30" xfId="0" applyNumberFormat="1" applyFont="1" applyFill="1" applyBorder="1" applyAlignment="1">
      <alignment vertical="center"/>
    </xf>
    <xf numFmtId="0" fontId="3" fillId="0" borderId="30" xfId="0" applyFont="1" applyBorder="1" applyAlignment="1">
      <alignment vertical="center"/>
    </xf>
    <xf numFmtId="10" fontId="3" fillId="0" borderId="0" xfId="0" applyNumberFormat="1" applyFont="1" applyAlignment="1">
      <alignment vertical="center"/>
    </xf>
    <xf numFmtId="0" fontId="3" fillId="8" borderId="0" xfId="0" applyFont="1" applyFill="1" applyAlignment="1">
      <alignment vertical="center"/>
    </xf>
    <xf numFmtId="10" fontId="3" fillId="8" borderId="0" xfId="0" applyNumberFormat="1" applyFont="1" applyFill="1" applyAlignment="1">
      <alignment vertical="center"/>
    </xf>
    <xf numFmtId="0" fontId="3" fillId="8" borderId="20" xfId="0" applyFont="1" applyFill="1" applyBorder="1" applyAlignment="1">
      <alignment vertical="center"/>
    </xf>
    <xf numFmtId="10" fontId="3" fillId="8" borderId="20" xfId="0" applyNumberFormat="1" applyFont="1" applyFill="1" applyBorder="1" applyAlignment="1">
      <alignment vertical="center"/>
    </xf>
    <xf numFmtId="0" fontId="3" fillId="0" borderId="20" xfId="0" applyFont="1" applyBorder="1" applyAlignment="1">
      <alignment vertical="center"/>
    </xf>
    <xf numFmtId="0" fontId="18" fillId="0" borderId="0" xfId="0" applyFont="1" applyAlignment="1">
      <alignment horizontal="justify" vertical="center"/>
    </xf>
    <xf numFmtId="0" fontId="24" fillId="0" borderId="0" xfId="0" applyFont="1" applyAlignment="1">
      <alignment horizontal="left" vertical="center" indent="2"/>
    </xf>
    <xf numFmtId="0" fontId="21" fillId="13" borderId="30" xfId="0" applyFont="1" applyFill="1" applyBorder="1" applyAlignment="1">
      <alignment vertical="center"/>
    </xf>
    <xf numFmtId="0" fontId="21" fillId="0" borderId="30" xfId="0" applyFont="1" applyBorder="1" applyAlignment="1">
      <alignment vertical="center"/>
    </xf>
    <xf numFmtId="11" fontId="21" fillId="0" borderId="30" xfId="0" applyNumberFormat="1" applyFont="1" applyBorder="1" applyAlignment="1">
      <alignment vertical="center"/>
    </xf>
    <xf numFmtId="11" fontId="21" fillId="8" borderId="0" xfId="0" applyNumberFormat="1" applyFont="1" applyFill="1" applyAlignment="1">
      <alignment vertical="center"/>
    </xf>
    <xf numFmtId="11" fontId="21" fillId="8" borderId="20" xfId="0" applyNumberFormat="1" applyFont="1" applyFill="1" applyBorder="1" applyAlignment="1">
      <alignment vertical="center"/>
    </xf>
    <xf numFmtId="0" fontId="20" fillId="0" borderId="33" xfId="0" applyFont="1" applyBorder="1" applyAlignment="1">
      <alignment horizontal="justify" vertical="center"/>
    </xf>
    <xf numFmtId="0" fontId="20" fillId="0" borderId="34" xfId="0" applyFont="1" applyBorder="1" applyAlignment="1">
      <alignment horizontal="center" vertical="center"/>
    </xf>
    <xf numFmtId="0" fontId="20" fillId="14" borderId="25" xfId="0" applyFont="1" applyFill="1" applyBorder="1" applyAlignment="1">
      <alignment horizontal="justify" vertical="center"/>
    </xf>
    <xf numFmtId="0" fontId="21" fillId="14" borderId="26" xfId="0" applyFont="1" applyFill="1" applyBorder="1" applyAlignment="1">
      <alignment horizontal="justify" vertical="center"/>
    </xf>
    <xf numFmtId="10" fontId="21" fillId="14" borderId="26" xfId="0" applyNumberFormat="1" applyFont="1" applyFill="1" applyBorder="1" applyAlignment="1">
      <alignment horizontal="center" vertical="center"/>
    </xf>
    <xf numFmtId="0" fontId="20" fillId="0" borderId="25" xfId="0" applyFont="1" applyBorder="1" applyAlignment="1">
      <alignment horizontal="justify" vertical="center"/>
    </xf>
    <xf numFmtId="0" fontId="21" fillId="0" borderId="26" xfId="0" applyFont="1" applyBorder="1" applyAlignment="1">
      <alignment horizontal="justify" vertical="center"/>
    </xf>
    <xf numFmtId="10" fontId="21" fillId="0" borderId="26" xfId="0" applyNumberFormat="1" applyFont="1" applyBorder="1" applyAlignment="1">
      <alignment horizontal="center" vertical="center"/>
    </xf>
    <xf numFmtId="0" fontId="21" fillId="14" borderId="25" xfId="0" applyFont="1" applyFill="1" applyBorder="1" applyAlignment="1">
      <alignment vertical="center"/>
    </xf>
    <xf numFmtId="0" fontId="21" fillId="0" borderId="25" xfId="0" applyFont="1" applyBorder="1" applyAlignment="1">
      <alignment vertical="center"/>
    </xf>
    <xf numFmtId="9" fontId="21" fillId="14" borderId="26" xfId="0" applyNumberFormat="1" applyFont="1" applyFill="1" applyBorder="1" applyAlignment="1">
      <alignment horizontal="center" vertical="center"/>
    </xf>
    <xf numFmtId="0" fontId="20" fillId="15" borderId="0" xfId="0" applyFont="1" applyFill="1" applyAlignment="1">
      <alignment vertical="center"/>
    </xf>
    <xf numFmtId="0" fontId="21" fillId="15" borderId="0" xfId="0" applyFont="1" applyFill="1" applyAlignment="1">
      <alignment horizontal="center" vertical="center"/>
    </xf>
    <xf numFmtId="0" fontId="20" fillId="15" borderId="20" xfId="0" applyFont="1" applyFill="1" applyBorder="1" applyAlignment="1">
      <alignment vertical="center"/>
    </xf>
    <xf numFmtId="0" fontId="21" fillId="15" borderId="20" xfId="0" applyFont="1" applyFill="1" applyBorder="1" applyAlignment="1">
      <alignment horizontal="center" vertical="center"/>
    </xf>
    <xf numFmtId="0" fontId="32" fillId="0" borderId="20" xfId="0" applyFont="1" applyBorder="1" applyAlignment="1">
      <alignment horizontal="center" vertical="center"/>
    </xf>
    <xf numFmtId="0" fontId="8" fillId="0" borderId="20" xfId="0" applyFont="1" applyBorder="1"/>
    <xf numFmtId="0" fontId="15" fillId="16" borderId="0" xfId="0" applyFont="1" applyFill="1" applyAlignment="1">
      <alignment vertical="center"/>
    </xf>
    <xf numFmtId="0" fontId="1" fillId="16" borderId="0" xfId="0" applyFont="1" applyFill="1"/>
    <xf numFmtId="0" fontId="0" fillId="6" borderId="0" xfId="0" applyFill="1"/>
    <xf numFmtId="0" fontId="15" fillId="6" borderId="0" xfId="0" applyFont="1" applyFill="1" applyAlignment="1">
      <alignment vertical="center"/>
    </xf>
    <xf numFmtId="0" fontId="21" fillId="8" borderId="36" xfId="0" applyFont="1" applyFill="1" applyBorder="1" applyAlignment="1">
      <alignment vertical="center"/>
    </xf>
    <xf numFmtId="0" fontId="21" fillId="0" borderId="2" xfId="0" applyFont="1" applyBorder="1" applyAlignment="1">
      <alignment vertical="center"/>
    </xf>
    <xf numFmtId="0" fontId="21" fillId="8" borderId="2" xfId="0" applyFont="1" applyFill="1" applyBorder="1" applyAlignment="1">
      <alignment vertical="center"/>
    </xf>
    <xf numFmtId="11" fontId="21" fillId="0" borderId="35" xfId="0" applyNumberFormat="1" applyFont="1" applyBorder="1" applyAlignment="1">
      <alignment vertical="center"/>
    </xf>
    <xf numFmtId="11" fontId="21" fillId="8" borderId="2" xfId="0" applyNumberFormat="1" applyFont="1" applyFill="1" applyBorder="1" applyAlignment="1">
      <alignment vertical="center"/>
    </xf>
    <xf numFmtId="11" fontId="21" fillId="0" borderId="2" xfId="0" applyNumberFormat="1" applyFont="1" applyBorder="1" applyAlignment="1">
      <alignment vertical="center"/>
    </xf>
    <xf numFmtId="11" fontId="21" fillId="8" borderId="36" xfId="0" applyNumberFormat="1" applyFont="1" applyFill="1" applyBorder="1" applyAlignment="1">
      <alignment vertical="center"/>
    </xf>
    <xf numFmtId="0" fontId="21" fillId="8" borderId="38" xfId="0" applyFont="1" applyFill="1" applyBorder="1" applyAlignment="1">
      <alignment vertical="center"/>
    </xf>
    <xf numFmtId="0" fontId="21" fillId="0" borderId="17" xfId="0" applyFont="1" applyBorder="1" applyAlignment="1">
      <alignment vertical="center"/>
    </xf>
    <xf numFmtId="0" fontId="21" fillId="8" borderId="17" xfId="0" applyFont="1" applyFill="1" applyBorder="1" applyAlignment="1">
      <alignment vertical="center"/>
    </xf>
    <xf numFmtId="11" fontId="21" fillId="0" borderId="37" xfId="0" applyNumberFormat="1" applyFont="1" applyBorder="1" applyAlignment="1">
      <alignment vertical="center"/>
    </xf>
    <xf numFmtId="11" fontId="21" fillId="8" borderId="17" xfId="0" applyNumberFormat="1" applyFont="1" applyFill="1" applyBorder="1" applyAlignment="1">
      <alignment vertical="center"/>
    </xf>
    <xf numFmtId="11" fontId="21" fillId="0" borderId="17" xfId="0" applyNumberFormat="1" applyFont="1" applyBorder="1" applyAlignment="1">
      <alignment vertical="center"/>
    </xf>
    <xf numFmtId="11" fontId="21" fillId="8" borderId="38" xfId="0" applyNumberFormat="1" applyFont="1" applyFill="1" applyBorder="1" applyAlignment="1">
      <alignment vertical="center"/>
    </xf>
    <xf numFmtId="0" fontId="3" fillId="0" borderId="17" xfId="0" applyFont="1" applyBorder="1" applyAlignment="1">
      <alignment vertical="center"/>
    </xf>
    <xf numFmtId="0" fontId="0" fillId="0" borderId="17" xfId="0" applyBorder="1" applyAlignment="1">
      <alignment vertical="center"/>
    </xf>
    <xf numFmtId="0" fontId="34" fillId="0" borderId="39" xfId="0" applyFont="1" applyBorder="1" applyAlignment="1">
      <alignment horizontal="left" vertical="center" wrapText="1"/>
    </xf>
    <xf numFmtId="0" fontId="34" fillId="0" borderId="12" xfId="0" applyFont="1" applyBorder="1" applyAlignment="1">
      <alignment horizontal="left" vertical="center" wrapText="1"/>
    </xf>
    <xf numFmtId="0" fontId="35" fillId="0" borderId="16" xfId="0" applyFont="1" applyBorder="1" applyAlignment="1">
      <alignment horizontal="left" vertical="center" wrapText="1"/>
    </xf>
    <xf numFmtId="0" fontId="34" fillId="0" borderId="39" xfId="0" applyFont="1" applyBorder="1" applyAlignment="1">
      <alignment horizontal="left" vertical="center"/>
    </xf>
    <xf numFmtId="0" fontId="34" fillId="0" borderId="12" xfId="0" applyFont="1" applyBorder="1" applyAlignment="1">
      <alignment horizontal="left" vertical="center"/>
    </xf>
    <xf numFmtId="0" fontId="35" fillId="0" borderId="15" xfId="0" applyFont="1" applyBorder="1" applyAlignment="1">
      <alignment horizontal="left" vertical="center"/>
    </xf>
    <xf numFmtId="0" fontId="35" fillId="0" borderId="16" xfId="0" applyFont="1" applyBorder="1" applyAlignment="1">
      <alignment horizontal="left" vertical="center"/>
    </xf>
    <xf numFmtId="0" fontId="33" fillId="0" borderId="0" xfId="0" applyFont="1" applyAlignment="1">
      <alignment horizontal="left" vertical="top"/>
    </xf>
    <xf numFmtId="0" fontId="0" fillId="7" borderId="0" xfId="0" applyFill="1"/>
    <xf numFmtId="0" fontId="1" fillId="7" borderId="0" xfId="0" applyFont="1" applyFill="1"/>
    <xf numFmtId="0" fontId="35" fillId="0" borderId="14" xfId="0" applyFont="1" applyBorder="1" applyAlignment="1">
      <alignment horizontal="left" vertical="center" wrapText="1"/>
    </xf>
    <xf numFmtId="11" fontId="35" fillId="0" borderId="16" xfId="0" applyNumberFormat="1" applyFont="1" applyBorder="1" applyAlignment="1">
      <alignment horizontal="left" vertical="center" wrapText="1"/>
    </xf>
    <xf numFmtId="0" fontId="5" fillId="0" borderId="0" xfId="0" applyFont="1" applyAlignment="1">
      <alignment horizontal="left" vertical="center"/>
    </xf>
    <xf numFmtId="0" fontId="0" fillId="0" borderId="15" xfId="0" applyBorder="1" applyAlignment="1">
      <alignment vertical="center" wrapText="1"/>
    </xf>
    <xf numFmtId="0" fontId="20" fillId="0" borderId="39" xfId="0" applyFont="1" applyBorder="1" applyAlignment="1">
      <alignment horizontal="left" vertical="center"/>
    </xf>
    <xf numFmtId="0" fontId="20" fillId="0" borderId="12" xfId="0" applyFont="1" applyBorder="1" applyAlignment="1">
      <alignment horizontal="left" vertical="center"/>
    </xf>
    <xf numFmtId="0" fontId="21" fillId="0" borderId="16" xfId="0" applyFont="1" applyBorder="1" applyAlignment="1">
      <alignment horizontal="left" vertical="center"/>
    </xf>
    <xf numFmtId="11" fontId="21" fillId="0" borderId="16" xfId="0" applyNumberFormat="1" applyFont="1" applyBorder="1" applyAlignment="1">
      <alignment horizontal="left" vertical="center"/>
    </xf>
    <xf numFmtId="0" fontId="1" fillId="0" borderId="17" xfId="0" applyFont="1" applyBorder="1"/>
    <xf numFmtId="0" fontId="35" fillId="5" borderId="15" xfId="0" applyFont="1" applyFill="1" applyBorder="1" applyAlignment="1">
      <alignment horizontal="left" vertical="center"/>
    </xf>
    <xf numFmtId="0" fontId="35" fillId="5" borderId="16" xfId="0" applyFont="1" applyFill="1" applyBorder="1" applyAlignment="1">
      <alignment horizontal="left" vertical="center" wrapText="1"/>
    </xf>
    <xf numFmtId="0" fontId="35" fillId="0" borderId="41" xfId="0" applyFont="1" applyBorder="1" applyAlignment="1">
      <alignment horizontal="left" vertical="center"/>
    </xf>
    <xf numFmtId="0" fontId="34" fillId="0" borderId="29" xfId="0" applyFont="1" applyBorder="1" applyAlignment="1">
      <alignment horizontal="left" vertical="center" wrapText="1"/>
    </xf>
    <xf numFmtId="0" fontId="35" fillId="0" borderId="20" xfId="0" applyFont="1" applyBorder="1" applyAlignment="1">
      <alignment horizontal="left" vertical="center" wrapText="1"/>
    </xf>
    <xf numFmtId="0" fontId="35" fillId="0" borderId="4" xfId="0" applyFont="1" applyBorder="1" applyAlignment="1">
      <alignment horizontal="left" vertical="center"/>
    </xf>
    <xf numFmtId="0" fontId="0" fillId="0" borderId="4" xfId="0" applyBorder="1"/>
    <xf numFmtId="0" fontId="34" fillId="0" borderId="29" xfId="0" applyFont="1" applyBorder="1" applyAlignment="1">
      <alignment horizontal="left" vertical="center"/>
    </xf>
    <xf numFmtId="0" fontId="35" fillId="0" borderId="20" xfId="0" applyFont="1" applyBorder="1" applyAlignment="1">
      <alignment horizontal="left" vertical="center"/>
    </xf>
    <xf numFmtId="0" fontId="34" fillId="0" borderId="4" xfId="0" applyFont="1" applyBorder="1" applyAlignment="1">
      <alignment horizontal="left" vertical="center"/>
    </xf>
    <xf numFmtId="0" fontId="1" fillId="0" borderId="4" xfId="0" applyFont="1" applyBorder="1"/>
    <xf numFmtId="0" fontId="34" fillId="0" borderId="4" xfId="0" applyFont="1" applyBorder="1" applyAlignment="1">
      <alignment horizontal="left" vertical="center" wrapText="1"/>
    </xf>
    <xf numFmtId="0" fontId="0" fillId="0" borderId="4" xfId="0" applyBorder="1" applyAlignment="1">
      <alignment vertical="center"/>
    </xf>
    <xf numFmtId="0" fontId="21" fillId="5" borderId="15" xfId="0" applyFont="1" applyFill="1" applyBorder="1" applyAlignment="1">
      <alignment horizontal="left" vertical="center"/>
    </xf>
    <xf numFmtId="0" fontId="35" fillId="0" borderId="0" xfId="0" applyFont="1" applyAlignment="1">
      <alignment horizontal="left" vertical="center"/>
    </xf>
    <xf numFmtId="0" fontId="0" fillId="9" borderId="0" xfId="0" applyFill="1" applyAlignment="1">
      <alignment vertical="center"/>
    </xf>
    <xf numFmtId="0" fontId="1" fillId="5" borderId="1" xfId="0" applyFont="1" applyFill="1" applyBorder="1"/>
    <xf numFmtId="0" fontId="20" fillId="12" borderId="0" xfId="0" applyFont="1" applyFill="1" applyAlignment="1">
      <alignment vertical="center"/>
    </xf>
    <xf numFmtId="0" fontId="20" fillId="0" borderId="29" xfId="0" applyFont="1" applyBorder="1" applyAlignment="1">
      <alignment horizontal="center" vertical="center"/>
    </xf>
    <xf numFmtId="0" fontId="20" fillId="12" borderId="30" xfId="0" applyFont="1" applyFill="1" applyBorder="1" applyAlignment="1">
      <alignment vertical="center"/>
    </xf>
    <xf numFmtId="0" fontId="15" fillId="5" borderId="26" xfId="0" applyFont="1" applyFill="1" applyBorder="1" applyAlignment="1">
      <alignment horizontal="center" vertical="center" wrapText="1"/>
    </xf>
    <xf numFmtId="9" fontId="14" fillId="5" borderId="26" xfId="0" applyNumberFormat="1" applyFont="1" applyFill="1" applyBorder="1" applyAlignment="1">
      <alignment horizontal="center" vertical="center" wrapText="1"/>
    </xf>
    <xf numFmtId="0" fontId="14" fillId="5" borderId="26" xfId="0" applyFont="1" applyFill="1" applyBorder="1" applyAlignment="1">
      <alignment horizontal="center" vertical="center" wrapText="1"/>
    </xf>
    <xf numFmtId="9" fontId="14" fillId="5" borderId="26" xfId="0" applyNumberFormat="1" applyFont="1" applyFill="1" applyBorder="1" applyAlignment="1">
      <alignment horizontal="left" vertical="center" wrapText="1"/>
    </xf>
    <xf numFmtId="0" fontId="14" fillId="5" borderId="28" xfId="0" applyFont="1" applyFill="1" applyBorder="1" applyAlignment="1">
      <alignment horizontal="center" vertical="center" wrapText="1"/>
    </xf>
    <xf numFmtId="9" fontId="14" fillId="17" borderId="26" xfId="0" applyNumberFormat="1" applyFont="1" applyFill="1" applyBorder="1" applyAlignment="1">
      <alignment horizontal="center" vertical="center" wrapText="1"/>
    </xf>
    <xf numFmtId="9" fontId="14" fillId="17" borderId="28" xfId="0" applyNumberFormat="1" applyFont="1" applyFill="1" applyBorder="1" applyAlignment="1">
      <alignment horizontal="center" vertical="center" wrapText="1"/>
    </xf>
    <xf numFmtId="9" fontId="14" fillId="17" borderId="26" xfId="0" applyNumberFormat="1" applyFont="1" applyFill="1" applyBorder="1" applyAlignment="1">
      <alignment horizontal="left" vertical="center" wrapText="1"/>
    </xf>
    <xf numFmtId="10" fontId="0" fillId="0" borderId="0" xfId="0" applyNumberFormat="1"/>
    <xf numFmtId="0" fontId="15" fillId="19" borderId="26" xfId="0" applyFont="1" applyFill="1" applyBorder="1" applyAlignment="1">
      <alignment horizontal="center" vertical="center" wrapText="1"/>
    </xf>
    <xf numFmtId="0" fontId="0" fillId="0" borderId="41" xfId="0" applyBorder="1"/>
    <xf numFmtId="0" fontId="0" fillId="0" borderId="20" xfId="0" applyBorder="1"/>
    <xf numFmtId="0" fontId="0" fillId="0" borderId="16" xfId="0" applyBorder="1"/>
    <xf numFmtId="0" fontId="0" fillId="20" borderId="0" xfId="0" applyFill="1"/>
    <xf numFmtId="164" fontId="0" fillId="0" borderId="0" xfId="0" applyNumberFormat="1"/>
    <xf numFmtId="0" fontId="35" fillId="7" borderId="4" xfId="0" applyFont="1" applyFill="1" applyBorder="1" applyAlignment="1">
      <alignment horizontal="left" vertical="center"/>
    </xf>
    <xf numFmtId="2" fontId="35" fillId="7" borderId="4" xfId="0" applyNumberFormat="1" applyFont="1" applyFill="1" applyBorder="1" applyAlignment="1">
      <alignment horizontal="left" vertical="center"/>
    </xf>
    <xf numFmtId="0" fontId="0" fillId="0" borderId="47" xfId="0" applyBorder="1"/>
    <xf numFmtId="0" fontId="20" fillId="0" borderId="47" xfId="0" applyFont="1" applyBorder="1" applyAlignment="1">
      <alignment horizontal="center" vertical="center"/>
    </xf>
    <xf numFmtId="0" fontId="20" fillId="0" borderId="48" xfId="0" applyFont="1" applyBorder="1" applyAlignment="1">
      <alignment horizontal="center" vertical="center"/>
    </xf>
    <xf numFmtId="0" fontId="21" fillId="8" borderId="49" xfId="0" applyFont="1" applyFill="1" applyBorder="1" applyAlignment="1">
      <alignment vertical="center"/>
    </xf>
    <xf numFmtId="0" fontId="21" fillId="0" borderId="10" xfId="0" applyFont="1" applyBorder="1" applyAlignment="1">
      <alignment vertical="center"/>
    </xf>
    <xf numFmtId="0" fontId="21" fillId="8" borderId="10" xfId="0" applyFont="1" applyFill="1" applyBorder="1" applyAlignment="1">
      <alignment vertical="center"/>
    </xf>
    <xf numFmtId="0" fontId="20" fillId="12" borderId="0" xfId="0" applyFont="1" applyFill="1" applyAlignment="1">
      <alignment horizontal="center" vertical="center"/>
    </xf>
    <xf numFmtId="0" fontId="0" fillId="21" borderId="0" xfId="0" applyFill="1"/>
    <xf numFmtId="9" fontId="0" fillId="0" borderId="0" xfId="1" applyFont="1"/>
    <xf numFmtId="10" fontId="0" fillId="0" borderId="0" xfId="1" applyNumberFormat="1" applyFont="1"/>
    <xf numFmtId="0" fontId="21" fillId="5" borderId="20" xfId="0" applyFont="1" applyFill="1" applyBorder="1" applyAlignment="1">
      <alignment vertical="center"/>
    </xf>
    <xf numFmtId="2" fontId="0" fillId="0" borderId="0" xfId="0" applyNumberFormat="1"/>
    <xf numFmtId="11" fontId="0" fillId="0" borderId="0" xfId="0" applyNumberFormat="1"/>
    <xf numFmtId="165" fontId="0" fillId="0" borderId="0" xfId="0" applyNumberFormat="1"/>
    <xf numFmtId="10" fontId="0" fillId="0" borderId="17" xfId="1" applyNumberFormat="1" applyFont="1" applyBorder="1"/>
    <xf numFmtId="10" fontId="0" fillId="0" borderId="0" xfId="1" applyNumberFormat="1" applyFont="1" applyBorder="1"/>
    <xf numFmtId="164" fontId="0" fillId="0" borderId="2" xfId="1" applyNumberFormat="1" applyFont="1" applyBorder="1"/>
    <xf numFmtId="10" fontId="0" fillId="21" borderId="17" xfId="1" applyNumberFormat="1" applyFont="1" applyFill="1" applyBorder="1"/>
    <xf numFmtId="164" fontId="0" fillId="21" borderId="2" xfId="1" applyNumberFormat="1" applyFont="1" applyFill="1" applyBorder="1"/>
    <xf numFmtId="10" fontId="0" fillId="0" borderId="21" xfId="1" applyNumberFormat="1" applyFont="1" applyBorder="1"/>
    <xf numFmtId="10" fontId="0" fillId="0" borderId="1" xfId="1" applyNumberFormat="1" applyFont="1" applyBorder="1"/>
    <xf numFmtId="164" fontId="0" fillId="21" borderId="3" xfId="1" applyNumberFormat="1" applyFont="1" applyFill="1" applyBorder="1"/>
    <xf numFmtId="0" fontId="21" fillId="8" borderId="50" xfId="0" applyFont="1" applyFill="1" applyBorder="1" applyAlignment="1">
      <alignment vertical="center"/>
    </xf>
    <xf numFmtId="0" fontId="21" fillId="8" borderId="47" xfId="0" applyFont="1" applyFill="1" applyBorder="1" applyAlignment="1">
      <alignment vertical="center"/>
    </xf>
    <xf numFmtId="0" fontId="21" fillId="8" borderId="51" xfId="0" applyFont="1" applyFill="1" applyBorder="1" applyAlignment="1">
      <alignment vertical="center"/>
    </xf>
    <xf numFmtId="0" fontId="21" fillId="8" borderId="21" xfId="0" applyFont="1" applyFill="1" applyBorder="1" applyAlignment="1">
      <alignment vertical="center"/>
    </xf>
    <xf numFmtId="0" fontId="21" fillId="8" borderId="1" xfId="0" applyFont="1" applyFill="1" applyBorder="1" applyAlignment="1">
      <alignment vertical="center"/>
    </xf>
    <xf numFmtId="0" fontId="21" fillId="8" borderId="3" xfId="0" applyFont="1" applyFill="1" applyBorder="1" applyAlignment="1">
      <alignment vertical="center"/>
    </xf>
    <xf numFmtId="0" fontId="21" fillId="0" borderId="19" xfId="0" applyFont="1" applyBorder="1" applyAlignment="1">
      <alignment vertical="center"/>
    </xf>
    <xf numFmtId="0" fontId="21" fillId="8" borderId="11" xfId="0" applyFont="1" applyFill="1" applyBorder="1" applyAlignment="1">
      <alignment vertical="center"/>
    </xf>
    <xf numFmtId="0" fontId="0" fillId="2" borderId="10" xfId="0" applyFill="1" applyBorder="1"/>
    <xf numFmtId="0" fontId="0" fillId="2" borderId="17" xfId="0" applyFill="1" applyBorder="1"/>
    <xf numFmtId="0" fontId="42" fillId="0" borderId="0" xfId="0" applyFont="1"/>
    <xf numFmtId="0" fontId="21" fillId="13" borderId="20" xfId="0" applyFont="1" applyFill="1" applyBorder="1" applyAlignment="1">
      <alignment vertical="center"/>
    </xf>
    <xf numFmtId="0" fontId="21" fillId="5" borderId="0" xfId="0" applyFont="1" applyFill="1" applyAlignment="1">
      <alignment vertical="center"/>
    </xf>
    <xf numFmtId="0" fontId="21" fillId="0" borderId="42" xfId="0" applyFont="1" applyBorder="1" applyAlignment="1">
      <alignment horizontal="center" vertical="center"/>
    </xf>
    <xf numFmtId="0" fontId="21" fillId="0" borderId="12" xfId="0" applyFont="1" applyBorder="1" applyAlignment="1">
      <alignment horizontal="center" vertical="center"/>
    </xf>
    <xf numFmtId="0" fontId="21" fillId="12" borderId="41" xfId="0" applyFont="1" applyFill="1" applyBorder="1" applyAlignment="1">
      <alignment horizontal="center" vertical="center"/>
    </xf>
    <xf numFmtId="0" fontId="21" fillId="0" borderId="40" xfId="0" applyFont="1" applyBorder="1" applyAlignment="1">
      <alignment horizontal="center" vertical="center"/>
    </xf>
    <xf numFmtId="0" fontId="21" fillId="0" borderId="16" xfId="0" applyFont="1" applyBorder="1" applyAlignment="1">
      <alignment horizontal="center" vertical="center"/>
    </xf>
    <xf numFmtId="0" fontId="21" fillId="12" borderId="44" xfId="0" applyFont="1" applyFill="1" applyBorder="1" applyAlignment="1">
      <alignment horizontal="center" vertical="center"/>
    </xf>
    <xf numFmtId="0" fontId="21" fillId="0" borderId="41" xfId="0" applyFont="1" applyBorder="1" applyAlignment="1">
      <alignment horizontal="center" vertical="center"/>
    </xf>
    <xf numFmtId="0" fontId="21" fillId="12" borderId="16" xfId="0" applyFont="1" applyFill="1" applyBorder="1" applyAlignment="1">
      <alignment horizontal="center" vertical="center"/>
    </xf>
    <xf numFmtId="0" fontId="20" fillId="0" borderId="20" xfId="0" applyFont="1" applyBorder="1" applyAlignment="1">
      <alignment horizontal="center" vertical="center"/>
    </xf>
    <xf numFmtId="0" fontId="21" fillId="5" borderId="52" xfId="0" applyFont="1" applyFill="1" applyBorder="1" applyAlignment="1">
      <alignment horizontal="center" vertical="center"/>
    </xf>
    <xf numFmtId="0" fontId="21" fillId="5" borderId="40" xfId="0" applyFont="1" applyFill="1" applyBorder="1" applyAlignment="1">
      <alignment horizontal="center" vertical="center"/>
    </xf>
    <xf numFmtId="0" fontId="21" fillId="5" borderId="43" xfId="0" applyFont="1" applyFill="1" applyBorder="1" applyAlignment="1">
      <alignment horizontal="center" vertical="center"/>
    </xf>
    <xf numFmtId="0" fontId="3" fillId="0" borderId="2" xfId="0" applyFont="1" applyBorder="1" applyAlignment="1">
      <alignment vertical="center"/>
    </xf>
    <xf numFmtId="2" fontId="3" fillId="8" borderId="35" xfId="0" applyNumberFormat="1" applyFont="1" applyFill="1" applyBorder="1" applyAlignment="1">
      <alignment vertical="center"/>
    </xf>
    <xf numFmtId="2" fontId="3" fillId="0" borderId="2" xfId="0" applyNumberFormat="1" applyFont="1" applyBorder="1" applyAlignment="1">
      <alignment vertical="center"/>
    </xf>
    <xf numFmtId="2" fontId="3" fillId="8" borderId="2" xfId="0" applyNumberFormat="1" applyFont="1" applyFill="1" applyBorder="1" applyAlignment="1">
      <alignment vertical="center"/>
    </xf>
    <xf numFmtId="2" fontId="3" fillId="8" borderId="36" xfId="0" applyNumberFormat="1" applyFont="1" applyFill="1" applyBorder="1" applyAlignment="1">
      <alignment vertical="center"/>
    </xf>
    <xf numFmtId="0" fontId="0" fillId="0" borderId="30" xfId="0" applyBorder="1"/>
    <xf numFmtId="0" fontId="0" fillId="0" borderId="44" xfId="0" applyBorder="1"/>
    <xf numFmtId="0" fontId="8" fillId="0" borderId="52" xfId="0" applyFont="1" applyBorder="1" applyAlignment="1">
      <alignment vertical="center"/>
    </xf>
    <xf numFmtId="0" fontId="3" fillId="0" borderId="41" xfId="0" applyFont="1" applyBorder="1" applyAlignment="1">
      <alignment vertical="center"/>
    </xf>
    <xf numFmtId="0" fontId="3" fillId="8" borderId="43" xfId="0" applyFont="1" applyFill="1" applyBorder="1" applyAlignment="1">
      <alignment vertical="center"/>
    </xf>
    <xf numFmtId="0" fontId="3" fillId="0" borderId="52" xfId="0" applyFont="1" applyBorder="1" applyAlignment="1">
      <alignment vertical="center"/>
    </xf>
    <xf numFmtId="0" fontId="3" fillId="8" borderId="52" xfId="0" applyFont="1" applyFill="1" applyBorder="1" applyAlignment="1">
      <alignment vertical="center"/>
    </xf>
    <xf numFmtId="0" fontId="3" fillId="8" borderId="40" xfId="0" applyFont="1" applyFill="1" applyBorder="1" applyAlignment="1">
      <alignment vertical="center"/>
    </xf>
    <xf numFmtId="2" fontId="3" fillId="8" borderId="44" xfId="0" applyNumberFormat="1" applyFont="1" applyFill="1" applyBorder="1" applyAlignment="1">
      <alignment vertical="center"/>
    </xf>
    <xf numFmtId="2" fontId="3" fillId="0" borderId="41" xfId="0" applyNumberFormat="1" applyFont="1" applyBorder="1" applyAlignment="1">
      <alignment vertical="center"/>
    </xf>
    <xf numFmtId="2" fontId="3" fillId="8" borderId="41" xfId="0" applyNumberFormat="1" applyFont="1" applyFill="1" applyBorder="1" applyAlignment="1">
      <alignment vertical="center"/>
    </xf>
    <xf numFmtId="2" fontId="3" fillId="8" borderId="16" xfId="0" applyNumberFormat="1" applyFont="1" applyFill="1" applyBorder="1" applyAlignment="1">
      <alignment vertical="center"/>
    </xf>
    <xf numFmtId="0" fontId="3" fillId="5" borderId="37" xfId="0" applyFont="1" applyFill="1" applyBorder="1" applyAlignment="1">
      <alignment vertical="center"/>
    </xf>
    <xf numFmtId="0" fontId="3" fillId="5" borderId="17" xfId="0" applyFont="1" applyFill="1" applyBorder="1" applyAlignment="1">
      <alignment vertical="center"/>
    </xf>
    <xf numFmtId="0" fontId="3" fillId="5" borderId="38" xfId="0" applyFont="1" applyFill="1" applyBorder="1" applyAlignment="1">
      <alignment vertical="center"/>
    </xf>
    <xf numFmtId="9" fontId="3" fillId="0" borderId="43" xfId="0" applyNumberFormat="1" applyFont="1" applyBorder="1" applyAlignment="1">
      <alignment vertical="center"/>
    </xf>
    <xf numFmtId="2" fontId="3" fillId="0" borderId="35" xfId="0" applyNumberFormat="1" applyFont="1" applyBorder="1" applyAlignment="1">
      <alignment vertical="center"/>
    </xf>
    <xf numFmtId="10" fontId="3" fillId="0" borderId="37" xfId="0" applyNumberFormat="1" applyFont="1" applyBorder="1" applyAlignment="1">
      <alignment vertical="center"/>
    </xf>
    <xf numFmtId="10" fontId="3" fillId="0" borderId="30" xfId="0" applyNumberFormat="1" applyFont="1" applyBorder="1" applyAlignment="1">
      <alignment vertical="center"/>
    </xf>
    <xf numFmtId="2" fontId="3" fillId="0" borderId="44" xfId="0" applyNumberFormat="1" applyFont="1" applyBorder="1" applyAlignment="1">
      <alignment vertical="center"/>
    </xf>
    <xf numFmtId="10" fontId="3" fillId="0" borderId="17" xfId="0" applyNumberFormat="1" applyFont="1" applyBorder="1" applyAlignment="1">
      <alignment vertical="center"/>
    </xf>
    <xf numFmtId="0" fontId="3" fillId="0" borderId="40" xfId="0" applyFont="1" applyBorder="1" applyAlignment="1">
      <alignment vertical="center"/>
    </xf>
    <xf numFmtId="2" fontId="3" fillId="0" borderId="36" xfId="0" applyNumberFormat="1" applyFont="1" applyBorder="1" applyAlignment="1">
      <alignment vertical="center"/>
    </xf>
    <xf numFmtId="10" fontId="3" fillId="0" borderId="38" xfId="0" applyNumberFormat="1" applyFont="1" applyBorder="1" applyAlignment="1">
      <alignment vertical="center"/>
    </xf>
    <xf numFmtId="2" fontId="3" fillId="0" borderId="16" xfId="0" applyNumberFormat="1" applyFont="1" applyBorder="1" applyAlignment="1">
      <alignment vertical="center"/>
    </xf>
    <xf numFmtId="0" fontId="21" fillId="14" borderId="31" xfId="0" applyFont="1" applyFill="1" applyBorder="1" applyAlignment="1">
      <alignment horizontal="justify" vertical="center"/>
    </xf>
    <xf numFmtId="0" fontId="21" fillId="0" borderId="31" xfId="0" applyFont="1" applyBorder="1" applyAlignment="1">
      <alignment horizontal="justify" vertical="center"/>
    </xf>
    <xf numFmtId="0" fontId="20" fillId="0" borderId="53" xfId="0" applyFont="1" applyBorder="1" applyAlignment="1">
      <alignment horizontal="center" vertical="center"/>
    </xf>
    <xf numFmtId="0" fontId="20" fillId="0" borderId="54" xfId="0" applyFont="1" applyBorder="1" applyAlignment="1">
      <alignment horizontal="center" vertical="center"/>
    </xf>
    <xf numFmtId="0" fontId="21" fillId="0" borderId="55" xfId="0" applyFont="1" applyBorder="1" applyAlignment="1">
      <alignment horizontal="justify" vertical="center"/>
    </xf>
    <xf numFmtId="0" fontId="21" fillId="14" borderId="45" xfId="0" applyFont="1" applyFill="1" applyBorder="1" applyAlignment="1">
      <alignment horizontal="justify" vertical="center"/>
    </xf>
    <xf numFmtId="0" fontId="21" fillId="14" borderId="46" xfId="0" applyFont="1" applyFill="1" applyBorder="1" applyAlignment="1">
      <alignment horizontal="justify" vertical="center"/>
    </xf>
    <xf numFmtId="0" fontId="21" fillId="5" borderId="55" xfId="0" applyFont="1" applyFill="1" applyBorder="1" applyAlignment="1">
      <alignment horizontal="justify" vertical="center"/>
    </xf>
    <xf numFmtId="0" fontId="21" fillId="5" borderId="26" xfId="0" applyFont="1" applyFill="1" applyBorder="1" applyAlignment="1">
      <alignment horizontal="justify" vertical="center"/>
    </xf>
    <xf numFmtId="2" fontId="3" fillId="5" borderId="37" xfId="0" applyNumberFormat="1" applyFont="1" applyFill="1" applyBorder="1" applyAlignment="1">
      <alignment vertical="center"/>
    </xf>
    <xf numFmtId="2" fontId="3" fillId="5" borderId="30" xfId="0" applyNumberFormat="1" applyFont="1" applyFill="1" applyBorder="1" applyAlignment="1">
      <alignment vertical="center"/>
    </xf>
    <xf numFmtId="2" fontId="3" fillId="5" borderId="17" xfId="0" applyNumberFormat="1" applyFont="1" applyFill="1" applyBorder="1" applyAlignment="1">
      <alignment vertical="center"/>
    </xf>
    <xf numFmtId="2" fontId="3" fillId="5" borderId="0" xfId="0" applyNumberFormat="1" applyFont="1" applyFill="1" applyAlignment="1">
      <alignment vertical="center"/>
    </xf>
    <xf numFmtId="2" fontId="3" fillId="5" borderId="38" xfId="0" applyNumberFormat="1" applyFont="1" applyFill="1" applyBorder="1" applyAlignment="1">
      <alignment vertical="center"/>
    </xf>
    <xf numFmtId="2" fontId="3" fillId="5" borderId="20" xfId="0" applyNumberFormat="1" applyFont="1" applyFill="1" applyBorder="1" applyAlignment="1">
      <alignment vertical="center"/>
    </xf>
    <xf numFmtId="0" fontId="0" fillId="0" borderId="42" xfId="0" applyBorder="1"/>
    <xf numFmtId="0" fontId="3" fillId="5" borderId="56" xfId="0" applyFont="1" applyFill="1" applyBorder="1" applyAlignment="1">
      <alignment vertical="center"/>
    </xf>
    <xf numFmtId="2" fontId="0" fillId="0" borderId="29" xfId="0" applyNumberFormat="1" applyBorder="1"/>
    <xf numFmtId="2" fontId="0" fillId="0" borderId="12" xfId="0" applyNumberFormat="1" applyBorder="1"/>
    <xf numFmtId="0" fontId="0" fillId="0" borderId="29" xfId="0" applyBorder="1"/>
    <xf numFmtId="0" fontId="0" fillId="0" borderId="12" xfId="0" applyBorder="1"/>
    <xf numFmtId="10" fontId="0" fillId="0" borderId="2" xfId="1" applyNumberFormat="1" applyFont="1" applyBorder="1"/>
    <xf numFmtId="10" fontId="0" fillId="0" borderId="3" xfId="1" applyNumberFormat="1" applyFont="1" applyBorder="1"/>
    <xf numFmtId="0" fontId="0" fillId="22" borderId="17" xfId="0" applyFill="1" applyBorder="1"/>
    <xf numFmtId="0" fontId="0" fillId="22" borderId="21" xfId="0" applyFill="1" applyBorder="1"/>
    <xf numFmtId="0" fontId="0" fillId="22" borderId="0" xfId="0" applyFill="1"/>
    <xf numFmtId="0" fontId="0" fillId="22" borderId="1" xfId="0" applyFill="1" applyBorder="1"/>
    <xf numFmtId="0" fontId="0" fillId="0" borderId="5" xfId="0" applyBorder="1"/>
    <xf numFmtId="0" fontId="0" fillId="0" borderId="6" xfId="0" applyBorder="1"/>
    <xf numFmtId="164" fontId="0" fillId="0" borderId="17" xfId="1" applyNumberFormat="1" applyFont="1" applyBorder="1"/>
    <xf numFmtId="164" fontId="0" fillId="0" borderId="0" xfId="1" applyNumberFormat="1" applyFont="1" applyBorder="1"/>
    <xf numFmtId="164" fontId="0" fillId="2" borderId="17" xfId="1" applyNumberFormat="1" applyFont="1" applyFill="1" applyBorder="1"/>
    <xf numFmtId="164" fontId="0" fillId="2" borderId="0" xfId="1" applyNumberFormat="1" applyFont="1" applyFill="1" applyBorder="1"/>
    <xf numFmtId="164" fontId="0" fillId="0" borderId="21" xfId="1" applyNumberFormat="1" applyFont="1" applyBorder="1"/>
    <xf numFmtId="164" fontId="0" fillId="0" borderId="1" xfId="1" applyNumberFormat="1" applyFont="1" applyBorder="1"/>
    <xf numFmtId="164" fontId="0" fillId="0" borderId="3" xfId="1" applyNumberFormat="1" applyFont="1" applyBorder="1"/>
    <xf numFmtId="10" fontId="0" fillId="2" borderId="17" xfId="1" applyNumberFormat="1" applyFont="1" applyFill="1" applyBorder="1"/>
    <xf numFmtId="10" fontId="0" fillId="2" borderId="0" xfId="1" applyNumberFormat="1" applyFont="1" applyFill="1" applyBorder="1"/>
    <xf numFmtId="0" fontId="21" fillId="8" borderId="19" xfId="0" applyFont="1" applyFill="1" applyBorder="1" applyAlignment="1">
      <alignment vertical="center"/>
    </xf>
    <xf numFmtId="0" fontId="0" fillId="3" borderId="10" xfId="0" applyFill="1" applyBorder="1"/>
    <xf numFmtId="0" fontId="3" fillId="10" borderId="4" xfId="0" applyFont="1" applyFill="1" applyBorder="1" applyAlignment="1">
      <alignment horizontal="left" vertical="center"/>
    </xf>
    <xf numFmtId="0" fontId="1" fillId="0" borderId="6" xfId="0" applyFont="1" applyBorder="1"/>
    <xf numFmtId="0" fontId="3" fillId="0" borderId="6" xfId="0" applyFont="1" applyBorder="1" applyAlignment="1">
      <alignment horizontal="left" vertical="center"/>
    </xf>
    <xf numFmtId="0" fontId="21" fillId="5" borderId="45" xfId="0" applyFont="1" applyFill="1" applyBorder="1" applyAlignment="1">
      <alignment horizontal="justify" vertical="center"/>
    </xf>
    <xf numFmtId="0" fontId="21" fillId="5" borderId="46" xfId="0" applyFont="1" applyFill="1" applyBorder="1" applyAlignment="1">
      <alignment horizontal="justify" vertical="center"/>
    </xf>
    <xf numFmtId="0" fontId="1" fillId="0" borderId="30" xfId="0" applyFont="1" applyBorder="1"/>
    <xf numFmtId="0" fontId="1" fillId="0" borderId="44" xfId="0" applyFont="1" applyBorder="1"/>
    <xf numFmtId="0" fontId="0" fillId="0" borderId="52" xfId="0" applyBorder="1"/>
    <xf numFmtId="0" fontId="0" fillId="0" borderId="40" xfId="0" applyBorder="1"/>
    <xf numFmtId="9" fontId="0" fillId="0" borderId="0" xfId="1" applyFont="1" applyBorder="1"/>
    <xf numFmtId="0" fontId="44" fillId="0" borderId="4" xfId="0" applyFont="1" applyBorder="1" applyAlignment="1">
      <alignment horizontal="left" vertical="center" wrapText="1"/>
    </xf>
    <xf numFmtId="0" fontId="44" fillId="18" borderId="4" xfId="0" applyFont="1" applyFill="1" applyBorder="1" applyAlignment="1">
      <alignment horizontal="left" vertical="center" wrapText="1"/>
    </xf>
    <xf numFmtId="0" fontId="44" fillId="19" borderId="4" xfId="0" applyFont="1" applyFill="1" applyBorder="1" applyAlignment="1">
      <alignment horizontal="left" vertical="center" wrapText="1"/>
    </xf>
    <xf numFmtId="0" fontId="44" fillId="5" borderId="4" xfId="0" applyFont="1" applyFill="1" applyBorder="1" applyAlignment="1">
      <alignment horizontal="left" vertical="center" wrapText="1"/>
    </xf>
    <xf numFmtId="9" fontId="44" fillId="0" borderId="4" xfId="1" applyFont="1" applyBorder="1" applyAlignment="1">
      <alignment horizontal="left" vertical="center" wrapText="1"/>
    </xf>
    <xf numFmtId="0" fontId="44" fillId="5" borderId="4" xfId="0" applyFont="1" applyFill="1" applyBorder="1" applyAlignment="1">
      <alignment horizontal="justify" vertical="center" wrapText="1"/>
    </xf>
    <xf numFmtId="3" fontId="44" fillId="0" borderId="4" xfId="0" applyNumberFormat="1" applyFont="1" applyBorder="1" applyAlignment="1">
      <alignment horizontal="left" vertical="center" wrapText="1"/>
    </xf>
    <xf numFmtId="3" fontId="44" fillId="18" borderId="4" xfId="0" applyNumberFormat="1" applyFont="1" applyFill="1" applyBorder="1" applyAlignment="1">
      <alignment horizontal="left" vertical="center" wrapText="1"/>
    </xf>
    <xf numFmtId="3" fontId="44" fillId="19" borderId="4" xfId="0" applyNumberFormat="1" applyFont="1" applyFill="1" applyBorder="1" applyAlignment="1">
      <alignment horizontal="left" vertical="center" wrapText="1"/>
    </xf>
    <xf numFmtId="0" fontId="44" fillId="0" borderId="4" xfId="0" applyFont="1" applyBorder="1" applyAlignment="1">
      <alignment horizontal="center" vertical="center" wrapText="1"/>
    </xf>
    <xf numFmtId="2" fontId="44" fillId="0" borderId="4" xfId="1" applyNumberFormat="1" applyFont="1" applyBorder="1" applyAlignment="1">
      <alignment horizontal="left" vertical="center" wrapText="1"/>
    </xf>
    <xf numFmtId="0" fontId="35" fillId="5" borderId="4" xfId="0" applyFont="1" applyFill="1" applyBorder="1" applyAlignment="1">
      <alignment horizontal="left" vertical="center" wrapText="1"/>
    </xf>
    <xf numFmtId="0" fontId="35" fillId="7" borderId="4" xfId="0" applyFont="1" applyFill="1" applyBorder="1" applyAlignment="1">
      <alignment horizontal="left" vertical="center" wrapText="1"/>
    </xf>
    <xf numFmtId="0" fontId="0" fillId="7" borderId="4" xfId="0" applyFill="1" applyBorder="1"/>
    <xf numFmtId="167" fontId="0" fillId="0" borderId="4" xfId="0" applyNumberFormat="1" applyBorder="1"/>
    <xf numFmtId="2" fontId="0" fillId="0" borderId="4" xfId="0" applyNumberFormat="1" applyBorder="1"/>
    <xf numFmtId="0" fontId="34" fillId="0" borderId="7" xfId="0" applyFont="1" applyBorder="1" applyAlignment="1">
      <alignment horizontal="left" vertical="center" wrapText="1"/>
    </xf>
    <xf numFmtId="2" fontId="0" fillId="11" borderId="4" xfId="0" applyNumberFormat="1" applyFill="1" applyBorder="1"/>
    <xf numFmtId="0" fontId="35" fillId="3" borderId="4" xfId="0" applyFont="1" applyFill="1" applyBorder="1" applyAlignment="1">
      <alignment horizontal="left" vertical="center"/>
    </xf>
    <xf numFmtId="0" fontId="34" fillId="0" borderId="0" xfId="0" applyFont="1" applyAlignment="1">
      <alignment horizontal="left" vertical="center" wrapText="1"/>
    </xf>
    <xf numFmtId="0" fontId="34" fillId="0" borderId="0" xfId="0" applyFont="1" applyAlignment="1">
      <alignment horizontal="left" vertical="center"/>
    </xf>
    <xf numFmtId="0" fontId="0" fillId="5" borderId="17" xfId="0" applyFill="1" applyBorder="1"/>
    <xf numFmtId="0" fontId="20" fillId="12" borderId="42" xfId="0" applyFont="1" applyFill="1" applyBorder="1" applyAlignment="1">
      <alignment vertical="center"/>
    </xf>
    <xf numFmtId="0" fontId="20" fillId="12" borderId="29" xfId="0" applyFont="1" applyFill="1" applyBorder="1" applyAlignment="1">
      <alignment vertical="center"/>
    </xf>
    <xf numFmtId="0" fontId="20" fillId="12" borderId="20" xfId="0" applyFont="1" applyFill="1" applyBorder="1" applyAlignment="1">
      <alignment vertical="center"/>
    </xf>
    <xf numFmtId="0" fontId="0" fillId="0" borderId="13" xfId="0" applyBorder="1"/>
    <xf numFmtId="0" fontId="0" fillId="0" borderId="39" xfId="0" applyBorder="1"/>
    <xf numFmtId="0" fontId="34" fillId="0" borderId="42" xfId="0" applyFont="1" applyBorder="1" applyAlignment="1">
      <alignment horizontal="left" vertical="center" wrapText="1"/>
    </xf>
    <xf numFmtId="0" fontId="35" fillId="0" borderId="0" xfId="0" applyFont="1" applyAlignment="1">
      <alignment horizontal="left" vertical="center" wrapText="1"/>
    </xf>
    <xf numFmtId="0" fontId="15" fillId="0" borderId="31" xfId="0" applyFont="1" applyBorder="1" applyAlignment="1">
      <alignment horizontal="left" vertical="center" wrapText="1"/>
    </xf>
    <xf numFmtId="9" fontId="14" fillId="0" borderId="31" xfId="0" applyNumberFormat="1" applyFont="1" applyBorder="1" applyAlignment="1">
      <alignment horizontal="left" vertical="center" wrapText="1"/>
    </xf>
    <xf numFmtId="0" fontId="14" fillId="0" borderId="31" xfId="0" applyFont="1" applyBorder="1" applyAlignment="1">
      <alignment horizontal="center" vertical="center" wrapText="1"/>
    </xf>
    <xf numFmtId="0" fontId="14" fillId="0" borderId="57" xfId="0" applyFont="1" applyBorder="1" applyAlignment="1">
      <alignment horizontal="center" vertical="center" wrapText="1"/>
    </xf>
    <xf numFmtId="164" fontId="0" fillId="0" borderId="4" xfId="0" applyNumberFormat="1" applyBorder="1"/>
    <xf numFmtId="0" fontId="14" fillId="0" borderId="0" xfId="0" applyFont="1" applyAlignment="1">
      <alignment horizontal="center" vertical="center" wrapText="1"/>
    </xf>
    <xf numFmtId="0" fontId="15" fillId="0" borderId="31" xfId="0" applyFont="1" applyBorder="1" applyAlignment="1">
      <alignment horizontal="center" vertical="center" wrapText="1"/>
    </xf>
    <xf numFmtId="9" fontId="14" fillId="0" borderId="31" xfId="0" applyNumberFormat="1" applyFont="1" applyBorder="1" applyAlignment="1">
      <alignment horizontal="center" vertical="center" wrapText="1"/>
    </xf>
    <xf numFmtId="2" fontId="0" fillId="0" borderId="14" xfId="0" applyNumberFormat="1" applyBorder="1"/>
    <xf numFmtId="2" fontId="0" fillId="0" borderId="15" xfId="0" applyNumberFormat="1" applyBorder="1"/>
    <xf numFmtId="0" fontId="3" fillId="0" borderId="15" xfId="0" applyFont="1" applyBorder="1" applyAlignment="1">
      <alignment vertical="center"/>
    </xf>
    <xf numFmtId="2" fontId="0" fillId="0" borderId="39" xfId="0" applyNumberFormat="1" applyBorder="1"/>
    <xf numFmtId="0" fontId="35" fillId="0" borderId="13" xfId="0" applyFont="1" applyBorder="1" applyAlignment="1">
      <alignment horizontal="left" vertical="center" wrapText="1"/>
    </xf>
    <xf numFmtId="0" fontId="35" fillId="0" borderId="15" xfId="0" applyFont="1" applyBorder="1" applyAlignment="1">
      <alignment horizontal="left" vertical="center" wrapText="1"/>
    </xf>
    <xf numFmtId="0" fontId="35" fillId="5" borderId="15" xfId="0" applyFont="1" applyFill="1" applyBorder="1" applyAlignment="1">
      <alignment horizontal="left" vertical="center" wrapText="1"/>
    </xf>
    <xf numFmtId="166" fontId="0" fillId="0" borderId="4" xfId="0" applyNumberFormat="1" applyBorder="1"/>
    <xf numFmtId="168" fontId="0" fillId="0" borderId="4" xfId="0" applyNumberFormat="1" applyBorder="1"/>
    <xf numFmtId="169" fontId="0" fillId="0" borderId="0" xfId="0" applyNumberFormat="1"/>
    <xf numFmtId="170" fontId="0" fillId="0" borderId="0" xfId="0" applyNumberFormat="1"/>
    <xf numFmtId="0" fontId="18" fillId="0" borderId="23" xfId="0" applyFont="1" applyBorder="1" applyAlignment="1">
      <alignment horizontal="left" vertical="center" wrapText="1" indent="1"/>
    </xf>
    <xf numFmtId="0" fontId="21" fillId="8" borderId="20" xfId="0" applyFont="1" applyFill="1" applyBorder="1" applyAlignment="1">
      <alignment horizontal="center" vertical="center"/>
    </xf>
    <xf numFmtId="0" fontId="21" fillId="8" borderId="36" xfId="0" applyFont="1" applyFill="1" applyBorder="1" applyAlignment="1">
      <alignment horizontal="center" vertical="center"/>
    </xf>
    <xf numFmtId="0" fontId="21" fillId="0" borderId="32" xfId="0" applyFont="1" applyBorder="1" applyAlignment="1">
      <alignment horizontal="center" vertical="center"/>
    </xf>
    <xf numFmtId="0" fontId="21" fillId="0" borderId="31" xfId="0" applyFont="1" applyBorder="1" applyAlignment="1">
      <alignment horizontal="center" vertical="center"/>
    </xf>
    <xf numFmtId="0" fontId="21" fillId="13" borderId="30" xfId="0" applyFont="1" applyFill="1" applyBorder="1" applyAlignment="1">
      <alignment horizontal="center" vertical="center"/>
    </xf>
    <xf numFmtId="0" fontId="21" fillId="13" borderId="35" xfId="0" applyFont="1" applyFill="1" applyBorder="1" applyAlignment="1">
      <alignment horizontal="center" vertical="center"/>
    </xf>
    <xf numFmtId="0" fontId="21" fillId="13" borderId="37" xfId="0" applyFont="1" applyFill="1" applyBorder="1" applyAlignment="1">
      <alignment horizontal="center" vertical="center"/>
    </xf>
    <xf numFmtId="0" fontId="21" fillId="0" borderId="30" xfId="0" applyFont="1" applyBorder="1" applyAlignment="1">
      <alignment horizontal="center" vertical="center"/>
    </xf>
    <xf numFmtId="0" fontId="45" fillId="0" borderId="0" xfId="0" applyFont="1"/>
    <xf numFmtId="0" fontId="46" fillId="0" borderId="0" xfId="0" applyFont="1"/>
    <xf numFmtId="0" fontId="47" fillId="0" borderId="0" xfId="0" applyFont="1" applyAlignment="1">
      <alignment vertical="center"/>
    </xf>
    <xf numFmtId="0" fontId="21" fillId="5" borderId="58" xfId="0" applyFont="1" applyFill="1" applyBorder="1" applyAlignment="1">
      <alignment horizontal="left" vertical="center"/>
    </xf>
    <xf numFmtId="0" fontId="21" fillId="0" borderId="59" xfId="0" applyFont="1" applyBorder="1" applyAlignment="1">
      <alignment horizontal="left" vertical="center"/>
    </xf>
    <xf numFmtId="0" fontId="35" fillId="0" borderId="59" xfId="0" applyFont="1" applyBorder="1" applyAlignment="1">
      <alignment horizontal="left" vertical="center"/>
    </xf>
    <xf numFmtId="0" fontId="34" fillId="0" borderId="13" xfId="0" applyFont="1" applyBorder="1" applyAlignment="1">
      <alignment horizontal="left" vertical="center" wrapText="1"/>
    </xf>
    <xf numFmtId="0" fontId="0" fillId="0" borderId="15" xfId="0" applyBorder="1"/>
    <xf numFmtId="0" fontId="35" fillId="0" borderId="39" xfId="0" applyFont="1" applyBorder="1" applyAlignment="1">
      <alignment horizontal="left" vertical="center"/>
    </xf>
    <xf numFmtId="0" fontId="51" fillId="0" borderId="0" xfId="0" applyFont="1" applyAlignment="1">
      <alignment vertical="center"/>
    </xf>
    <xf numFmtId="0" fontId="52" fillId="0" borderId="4" xfId="0" applyFont="1" applyBorder="1"/>
    <xf numFmtId="0" fontId="1" fillId="0" borderId="43" xfId="0" applyFont="1" applyBorder="1"/>
    <xf numFmtId="0" fontId="0" fillId="0" borderId="43" xfId="0" applyBorder="1"/>
    <xf numFmtId="171" fontId="0" fillId="0" borderId="30" xfId="0" applyNumberFormat="1" applyBorder="1"/>
    <xf numFmtId="171" fontId="0" fillId="0" borderId="0" xfId="0" applyNumberFormat="1"/>
    <xf numFmtId="171" fontId="0" fillId="0" borderId="20" xfId="0" applyNumberFormat="1" applyBorder="1"/>
    <xf numFmtId="0" fontId="1" fillId="2" borderId="0" xfId="0" applyFont="1" applyFill="1"/>
    <xf numFmtId="0" fontId="34" fillId="0" borderId="7" xfId="0" applyFont="1" applyBorder="1" applyAlignment="1">
      <alignment horizontal="left" vertical="center"/>
    </xf>
    <xf numFmtId="0" fontId="1" fillId="23" borderId="17" xfId="0" applyFont="1" applyFill="1" applyBorder="1"/>
    <xf numFmtId="0" fontId="1" fillId="23" borderId="0" xfId="0" applyFont="1" applyFill="1"/>
    <xf numFmtId="0" fontId="54" fillId="0" borderId="0" xfId="0" applyFont="1" applyAlignment="1">
      <alignment vertical="center"/>
    </xf>
    <xf numFmtId="0" fontId="4" fillId="0" borderId="52" xfId="0" applyFont="1" applyBorder="1" applyAlignment="1">
      <alignment vertical="center"/>
    </xf>
    <xf numFmtId="0" fontId="4" fillId="0" borderId="0" xfId="0" applyFont="1" applyAlignment="1">
      <alignment vertical="center"/>
    </xf>
    <xf numFmtId="0" fontId="0" fillId="0" borderId="14" xfId="0" applyBorder="1"/>
    <xf numFmtId="0" fontId="14" fillId="0" borderId="0" xfId="0" applyFont="1" applyAlignment="1">
      <alignment vertical="center"/>
    </xf>
    <xf numFmtId="0" fontId="0" fillId="4" borderId="47" xfId="0" applyFill="1" applyBorder="1"/>
    <xf numFmtId="0" fontId="14" fillId="0" borderId="0" xfId="0" applyFont="1"/>
    <xf numFmtId="0" fontId="0" fillId="4" borderId="5" xfId="0" applyFill="1" applyBorder="1"/>
    <xf numFmtId="0" fontId="4" fillId="0" borderId="52" xfId="0" applyFont="1" applyBorder="1" applyAlignment="1">
      <alignment horizontal="left" vertical="center"/>
    </xf>
    <xf numFmtId="0" fontId="4" fillId="0" borderId="0" xfId="0" applyFont="1" applyAlignment="1">
      <alignment horizontal="left" vertical="center"/>
    </xf>
    <xf numFmtId="0" fontId="0" fillId="0" borderId="0" xfId="0"/>
    <xf numFmtId="0" fontId="20" fillId="12" borderId="0" xfId="0" applyFont="1" applyFill="1" applyAlignment="1">
      <alignment vertical="center"/>
    </xf>
    <xf numFmtId="0" fontId="21" fillId="12" borderId="0" xfId="0" applyFont="1" applyFill="1" applyAlignment="1">
      <alignment vertical="center" wrapText="1"/>
    </xf>
    <xf numFmtId="0" fontId="20" fillId="0" borderId="29" xfId="0" applyFont="1" applyBorder="1" applyAlignment="1">
      <alignment horizontal="center" vertical="center"/>
    </xf>
    <xf numFmtId="0" fontId="20" fillId="12" borderId="30" xfId="0" applyFont="1" applyFill="1" applyBorder="1" applyAlignment="1">
      <alignment vertical="center"/>
    </xf>
    <xf numFmtId="0" fontId="21" fillId="12" borderId="30" xfId="0" applyFont="1" applyFill="1" applyBorder="1" applyAlignment="1">
      <alignment vertical="center" wrapText="1"/>
    </xf>
    <xf numFmtId="0" fontId="20" fillId="0" borderId="0" xfId="0" applyFont="1" applyAlignment="1">
      <alignment vertical="center"/>
    </xf>
    <xf numFmtId="0" fontId="21" fillId="0" borderId="0" xfId="0" applyFont="1" applyAlignment="1">
      <alignment vertical="center" wrapText="1"/>
    </xf>
    <xf numFmtId="0" fontId="20" fillId="0" borderId="0" xfId="0" applyFont="1" applyAlignment="1">
      <alignment vertical="center" wrapText="1"/>
    </xf>
    <xf numFmtId="0" fontId="20" fillId="13" borderId="0" xfId="0" applyFont="1" applyFill="1" applyAlignment="1">
      <alignment vertical="center" wrapText="1"/>
    </xf>
    <xf numFmtId="0" fontId="21" fillId="13" borderId="0" xfId="0" applyFont="1" applyFill="1" applyAlignment="1">
      <alignment vertical="center" wrapText="1"/>
    </xf>
    <xf numFmtId="0" fontId="21" fillId="13" borderId="30" xfId="0" applyFont="1" applyFill="1" applyBorder="1" applyAlignment="1">
      <alignment horizontal="center" vertical="center"/>
    </xf>
    <xf numFmtId="0" fontId="21" fillId="8" borderId="20" xfId="0" applyFont="1" applyFill="1" applyBorder="1" applyAlignment="1">
      <alignment horizontal="center" vertical="center"/>
    </xf>
    <xf numFmtId="0" fontId="20" fillId="0" borderId="30" xfId="0" applyFont="1" applyBorder="1" applyAlignment="1">
      <alignment horizontal="center" vertical="center"/>
    </xf>
    <xf numFmtId="0" fontId="21" fillId="0" borderId="32" xfId="0" applyFont="1" applyBorder="1" applyAlignment="1">
      <alignment horizontal="center" vertical="center"/>
    </xf>
    <xf numFmtId="0" fontId="21" fillId="0" borderId="0" xfId="0" applyFont="1" applyAlignment="1">
      <alignment horizontal="center" vertical="center"/>
    </xf>
    <xf numFmtId="0" fontId="21" fillId="0" borderId="31" xfId="0" applyFont="1" applyBorder="1" applyAlignment="1">
      <alignment horizontal="center" vertical="center"/>
    </xf>
    <xf numFmtId="0" fontId="20" fillId="0" borderId="20" xfId="0" applyFont="1" applyBorder="1" applyAlignment="1">
      <alignment vertical="center"/>
    </xf>
    <xf numFmtId="0" fontId="21" fillId="0" borderId="30" xfId="0" applyFont="1" applyBorder="1" applyAlignment="1">
      <alignment horizontal="center" vertical="center"/>
    </xf>
    <xf numFmtId="0" fontId="4" fillId="0" borderId="30" xfId="0" applyFont="1" applyBorder="1" applyAlignment="1">
      <alignment horizontal="center" vertical="center"/>
    </xf>
    <xf numFmtId="0" fontId="20" fillId="0" borderId="29" xfId="0" applyFont="1" applyBorder="1" applyAlignment="1">
      <alignment horizontal="justify" vertical="center"/>
    </xf>
    <xf numFmtId="0" fontId="20" fillId="0" borderId="30" xfId="0" applyFont="1" applyBorder="1" applyAlignment="1">
      <alignment vertical="center" wrapText="1"/>
    </xf>
    <xf numFmtId="0" fontId="20" fillId="0" borderId="20" xfId="0" applyFont="1" applyBorder="1" applyAlignment="1">
      <alignment vertical="center" wrapText="1"/>
    </xf>
    <xf numFmtId="0" fontId="21" fillId="0" borderId="20" xfId="0" applyFont="1" applyBorder="1" applyAlignment="1">
      <alignment horizontal="center" vertical="center"/>
    </xf>
  </cellXfs>
  <cellStyles count="2">
    <cellStyle name="Normal" xfId="0" builtinId="0"/>
    <cellStyle name="Pro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cat>
            <c:strRef>
              <c:f>'LCIA Resultater fra modellering'!$A$45:$A$49</c:f>
              <c:strCache>
                <c:ptCount val="5"/>
                <c:pt idx="0">
                  <c:v>TK1 - Afvanding</c:v>
                </c:pt>
                <c:pt idx="1">
                  <c:v>TK2 - Forbrænding</c:v>
                </c:pt>
                <c:pt idx="2">
                  <c:v>TK3 - Pyrolyse</c:v>
                </c:pt>
                <c:pt idx="3">
                  <c:v>TK4 - Mineralisering</c:v>
                </c:pt>
                <c:pt idx="4">
                  <c:v>TK5 - Mineralisering (m. opbevaring)</c:v>
                </c:pt>
              </c:strCache>
            </c:strRef>
          </c:cat>
          <c:val>
            <c:numRef>
              <c:f>'LCIA Resultater fra modellering'!$C$45:$C$49</c:f>
              <c:numCache>
                <c:formatCode>General</c:formatCode>
                <c:ptCount val="5"/>
                <c:pt idx="0">
                  <c:v>-11.619943105451499</c:v>
                </c:pt>
                <c:pt idx="1">
                  <c:v>-8.2731340393780801</c:v>
                </c:pt>
                <c:pt idx="2">
                  <c:v>-14.554492661283501</c:v>
                </c:pt>
                <c:pt idx="3">
                  <c:v>14.4030910966408</c:v>
                </c:pt>
                <c:pt idx="4">
                  <c:v>14.6709744476333</c:v>
                </c:pt>
              </c:numCache>
            </c:numRef>
          </c:val>
          <c:extLst>
            <c:ext xmlns:c16="http://schemas.microsoft.com/office/drawing/2014/chart" uri="{C3380CC4-5D6E-409C-BE32-E72D297353CC}">
              <c16:uniqueId val="{00000000-BAAB-4D2D-889F-63AFEC35863E}"/>
            </c:ext>
          </c:extLst>
        </c:ser>
        <c:dLbls>
          <c:showLegendKey val="0"/>
          <c:showVal val="0"/>
          <c:showCatName val="0"/>
          <c:showSerName val="0"/>
          <c:showPercent val="0"/>
          <c:showBubbleSize val="0"/>
        </c:dLbls>
        <c:gapWidth val="219"/>
        <c:overlap val="-27"/>
        <c:axId val="1056468624"/>
        <c:axId val="1056472944"/>
      </c:barChart>
      <c:catAx>
        <c:axId val="1056468624"/>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056472944"/>
        <c:crosses val="autoZero"/>
        <c:auto val="1"/>
        <c:lblAlgn val="ctr"/>
        <c:lblOffset val="100"/>
        <c:noMultiLvlLbl val="0"/>
      </c:catAx>
      <c:valAx>
        <c:axId val="10564729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Kg</a:t>
                </a:r>
                <a:r>
                  <a:rPr lang="en-GB" baseline="0"/>
                  <a:t> CO</a:t>
                </a:r>
                <a:r>
                  <a:rPr lang="en-GB" baseline="-25000"/>
                  <a:t>2</a:t>
                </a:r>
                <a:r>
                  <a:rPr lang="en-GB" baseline="0"/>
                  <a:t>-ækv per ton slam</a:t>
                </a:r>
                <a:endParaRPr lang="en-GB"/>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0564686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7048556430446198E-2"/>
          <c:y val="0.14910552763819096"/>
          <c:w val="0.85056928577569424"/>
          <c:h val="0.60418691884619946"/>
        </c:manualLayout>
      </c:layout>
      <c:scatterChart>
        <c:scatterStyle val="lineMarker"/>
        <c:varyColors val="0"/>
        <c:ser>
          <c:idx val="4"/>
          <c:order val="0"/>
          <c:tx>
            <c:strRef>
              <c:f>'LCIA Resultater fra modellering'!$B$72</c:f>
              <c:strCache>
                <c:ptCount val="1"/>
                <c:pt idx="0">
                  <c:v>TK1 - Afvanding</c:v>
                </c:pt>
              </c:strCache>
            </c:strRef>
          </c:tx>
          <c:spPr>
            <a:ln w="25400" cap="rnd">
              <a:noFill/>
              <a:round/>
            </a:ln>
            <a:effectLst/>
          </c:spPr>
          <c:marker>
            <c:symbol val="circle"/>
            <c:size val="5"/>
            <c:spPr>
              <a:solidFill>
                <a:schemeClr val="accent5"/>
              </a:solidFill>
              <a:ln w="9525">
                <a:solidFill>
                  <a:schemeClr val="accent5"/>
                </a:solidFill>
              </a:ln>
              <a:effectLst/>
            </c:spPr>
          </c:marker>
          <c:xVal>
            <c:numRef>
              <c:f>'LCIA Resultater fra modellering'!$C$72</c:f>
              <c:numCache>
                <c:formatCode>General</c:formatCode>
                <c:ptCount val="1"/>
                <c:pt idx="0">
                  <c:v>-11.619943105451499</c:v>
                </c:pt>
              </c:numCache>
            </c:numRef>
          </c:xVal>
          <c:yVal>
            <c:numRef>
              <c:f>'LCIA Resultater fra modellering'!$D$72</c:f>
              <c:numCache>
                <c:formatCode>General</c:formatCode>
                <c:ptCount val="1"/>
                <c:pt idx="0">
                  <c:v>0.37</c:v>
                </c:pt>
              </c:numCache>
            </c:numRef>
          </c:yVal>
          <c:smooth val="0"/>
          <c:extLst>
            <c:ext xmlns:c16="http://schemas.microsoft.com/office/drawing/2014/chart" uri="{C3380CC4-5D6E-409C-BE32-E72D297353CC}">
              <c16:uniqueId val="{00000004-0E17-46CA-955F-AC804A56EF74}"/>
            </c:ext>
          </c:extLst>
        </c:ser>
        <c:ser>
          <c:idx val="0"/>
          <c:order val="1"/>
          <c:tx>
            <c:strRef>
              <c:f>'LCIA Resultater fra modellering'!$B$73</c:f>
              <c:strCache>
                <c:ptCount val="1"/>
                <c:pt idx="0">
                  <c:v>TK2 - Forbrænding</c:v>
                </c:pt>
              </c:strCache>
            </c:strRef>
          </c:tx>
          <c:spPr>
            <a:ln w="38100" cap="rnd">
              <a:noFill/>
              <a:round/>
            </a:ln>
            <a:effectLst/>
          </c:spPr>
          <c:marker>
            <c:symbol val="circle"/>
            <c:size val="5"/>
            <c:spPr>
              <a:solidFill>
                <a:schemeClr val="accent1"/>
              </a:solidFill>
              <a:ln w="9525">
                <a:solidFill>
                  <a:schemeClr val="accent1"/>
                </a:solidFill>
              </a:ln>
              <a:effectLst/>
            </c:spPr>
          </c:marker>
          <c:xVal>
            <c:numRef>
              <c:f>'LCIA Resultater fra modellering'!$C$73</c:f>
              <c:numCache>
                <c:formatCode>General</c:formatCode>
                <c:ptCount val="1"/>
                <c:pt idx="0">
                  <c:v>-8.2731340393780801</c:v>
                </c:pt>
              </c:numCache>
            </c:numRef>
          </c:xVal>
          <c:yVal>
            <c:numRef>
              <c:f>'LCIA Resultater fra modellering'!$D$73</c:f>
              <c:numCache>
                <c:formatCode>General</c:formatCode>
                <c:ptCount val="1"/>
                <c:pt idx="0">
                  <c:v>0.21199999999999999</c:v>
                </c:pt>
              </c:numCache>
            </c:numRef>
          </c:yVal>
          <c:smooth val="0"/>
          <c:extLst>
            <c:ext xmlns:c16="http://schemas.microsoft.com/office/drawing/2014/chart" uri="{C3380CC4-5D6E-409C-BE32-E72D297353CC}">
              <c16:uniqueId val="{00000000-0E17-46CA-955F-AC804A56EF74}"/>
            </c:ext>
          </c:extLst>
        </c:ser>
        <c:ser>
          <c:idx val="1"/>
          <c:order val="2"/>
          <c:tx>
            <c:strRef>
              <c:f>'LCIA Resultater fra modellering'!$B$74</c:f>
              <c:strCache>
                <c:ptCount val="1"/>
                <c:pt idx="0">
                  <c:v>TK3 - Pyrolyse</c:v>
                </c:pt>
              </c:strCache>
            </c:strRef>
          </c:tx>
          <c:spPr>
            <a:ln w="25400" cap="rnd">
              <a:noFill/>
              <a:round/>
            </a:ln>
            <a:effectLst/>
          </c:spPr>
          <c:marker>
            <c:symbol val="circle"/>
            <c:size val="5"/>
            <c:spPr>
              <a:solidFill>
                <a:schemeClr val="accent2"/>
              </a:solidFill>
              <a:ln w="9525">
                <a:solidFill>
                  <a:schemeClr val="accent2"/>
                </a:solidFill>
              </a:ln>
              <a:effectLst/>
            </c:spPr>
          </c:marker>
          <c:xVal>
            <c:numRef>
              <c:f>'LCIA Resultater fra modellering'!$C$74</c:f>
              <c:numCache>
                <c:formatCode>General</c:formatCode>
                <c:ptCount val="1"/>
                <c:pt idx="0">
                  <c:v>-14.554492661283501</c:v>
                </c:pt>
              </c:numCache>
            </c:numRef>
          </c:xVal>
          <c:yVal>
            <c:numRef>
              <c:f>'LCIA Resultater fra modellering'!$D$74</c:f>
              <c:numCache>
                <c:formatCode>General</c:formatCode>
                <c:ptCount val="1"/>
                <c:pt idx="0">
                  <c:v>6.8000000000000005E-2</c:v>
                </c:pt>
              </c:numCache>
            </c:numRef>
          </c:yVal>
          <c:smooth val="0"/>
          <c:extLst>
            <c:ext xmlns:c16="http://schemas.microsoft.com/office/drawing/2014/chart" uri="{C3380CC4-5D6E-409C-BE32-E72D297353CC}">
              <c16:uniqueId val="{00000001-0E17-46CA-955F-AC804A56EF74}"/>
            </c:ext>
          </c:extLst>
        </c:ser>
        <c:ser>
          <c:idx val="2"/>
          <c:order val="3"/>
          <c:tx>
            <c:strRef>
              <c:f>'LCIA Resultater fra modellering'!$B$75</c:f>
              <c:strCache>
                <c:ptCount val="1"/>
                <c:pt idx="0">
                  <c:v>TK4 - Mineralisering</c:v>
                </c:pt>
              </c:strCache>
            </c:strRef>
          </c:tx>
          <c:spPr>
            <a:ln w="25400" cap="rnd">
              <a:noFill/>
              <a:round/>
            </a:ln>
            <a:effectLst/>
          </c:spPr>
          <c:marker>
            <c:symbol val="circle"/>
            <c:size val="5"/>
            <c:spPr>
              <a:solidFill>
                <a:schemeClr val="accent3"/>
              </a:solidFill>
              <a:ln w="9525">
                <a:solidFill>
                  <a:schemeClr val="accent3"/>
                </a:solidFill>
              </a:ln>
              <a:effectLst/>
            </c:spPr>
          </c:marker>
          <c:xVal>
            <c:numRef>
              <c:f>'LCIA Resultater fra modellering'!$C$75</c:f>
              <c:numCache>
                <c:formatCode>General</c:formatCode>
                <c:ptCount val="1"/>
                <c:pt idx="0">
                  <c:v>14.4030910966408</c:v>
                </c:pt>
              </c:numCache>
            </c:numRef>
          </c:xVal>
          <c:yVal>
            <c:numRef>
              <c:f>'LCIA Resultater fra modellering'!$D$75</c:f>
              <c:numCache>
                <c:formatCode>General</c:formatCode>
                <c:ptCount val="1"/>
                <c:pt idx="0">
                  <c:v>0.48899999999999999</c:v>
                </c:pt>
              </c:numCache>
            </c:numRef>
          </c:yVal>
          <c:smooth val="0"/>
          <c:extLst>
            <c:ext xmlns:c16="http://schemas.microsoft.com/office/drawing/2014/chart" uri="{C3380CC4-5D6E-409C-BE32-E72D297353CC}">
              <c16:uniqueId val="{00000002-0E17-46CA-955F-AC804A56EF74}"/>
            </c:ext>
          </c:extLst>
        </c:ser>
        <c:ser>
          <c:idx val="3"/>
          <c:order val="4"/>
          <c:tx>
            <c:strRef>
              <c:f>'LCIA Resultater fra modellering'!$B$76</c:f>
              <c:strCache>
                <c:ptCount val="1"/>
                <c:pt idx="0">
                  <c:v>TK5 - Mineralisering (m. opbevaring)</c:v>
                </c:pt>
              </c:strCache>
            </c:strRef>
          </c:tx>
          <c:spPr>
            <a:ln w="25400" cap="rnd">
              <a:noFill/>
              <a:round/>
            </a:ln>
            <a:effectLst/>
          </c:spPr>
          <c:marker>
            <c:symbol val="circle"/>
            <c:size val="5"/>
            <c:spPr>
              <a:solidFill>
                <a:schemeClr val="accent4"/>
              </a:solidFill>
              <a:ln w="9525">
                <a:solidFill>
                  <a:schemeClr val="accent4"/>
                </a:solidFill>
              </a:ln>
              <a:effectLst/>
            </c:spPr>
          </c:marker>
          <c:xVal>
            <c:numRef>
              <c:f>'LCIA Resultater fra modellering'!$C$76</c:f>
              <c:numCache>
                <c:formatCode>General</c:formatCode>
                <c:ptCount val="1"/>
                <c:pt idx="0">
                  <c:v>14.6709744476333</c:v>
                </c:pt>
              </c:numCache>
            </c:numRef>
          </c:xVal>
          <c:yVal>
            <c:numRef>
              <c:f>'LCIA Resultater fra modellering'!$D$76</c:f>
              <c:numCache>
                <c:formatCode>General</c:formatCode>
                <c:ptCount val="1"/>
                <c:pt idx="0">
                  <c:v>0.48899999999999999</c:v>
                </c:pt>
              </c:numCache>
            </c:numRef>
          </c:yVal>
          <c:smooth val="0"/>
          <c:extLst>
            <c:ext xmlns:c16="http://schemas.microsoft.com/office/drawing/2014/chart" uri="{C3380CC4-5D6E-409C-BE32-E72D297353CC}">
              <c16:uniqueId val="{00000003-0E17-46CA-955F-AC804A56EF74}"/>
            </c:ext>
          </c:extLst>
        </c:ser>
        <c:dLbls>
          <c:showLegendKey val="0"/>
          <c:showVal val="0"/>
          <c:showCatName val="0"/>
          <c:showSerName val="0"/>
          <c:showPercent val="0"/>
          <c:showBubbleSize val="0"/>
        </c:dLbls>
        <c:axId val="1088629472"/>
        <c:axId val="1088629952"/>
      </c:scatterChart>
      <c:valAx>
        <c:axId val="1088629472"/>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Kg CO</a:t>
                </a:r>
                <a:r>
                  <a:rPr lang="en-GB" baseline="-25000"/>
                  <a:t>2</a:t>
                </a:r>
                <a:r>
                  <a:rPr lang="en-GB"/>
                  <a:t>-ækvivalent</a:t>
                </a:r>
                <a:r>
                  <a:rPr lang="en-GB" baseline="0"/>
                  <a:t> per ton slam</a:t>
                </a:r>
                <a:endParaRPr lang="en-GB"/>
              </a:p>
            </c:rich>
          </c:tx>
          <c:layout>
            <c:manualLayout>
              <c:xMode val="edge"/>
              <c:yMode val="edge"/>
              <c:x val="0.35652370043339959"/>
              <c:y val="1.3593954022078903E-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General" sourceLinked="1"/>
        <c:majorTickMark val="none"/>
        <c:minorTickMark val="none"/>
        <c:tickLblPos val="high"/>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088629952"/>
        <c:crosses val="autoZero"/>
        <c:crossBetween val="midCat"/>
      </c:valAx>
      <c:valAx>
        <c:axId val="108862995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P tilgængelighed</a:t>
                </a:r>
              </a:p>
            </c:rich>
          </c:tx>
          <c:layout>
            <c:manualLayout>
              <c:xMode val="edge"/>
              <c:yMode val="edge"/>
              <c:x val="0.95596296127723923"/>
              <c:y val="0.35715870692042889"/>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a-DK"/>
            </a:p>
          </c:txPr>
        </c:title>
        <c:numFmt formatCode="General" sourceLinked="1"/>
        <c:majorTickMark val="none"/>
        <c:minorTickMark val="none"/>
        <c:tickLblPos val="high"/>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crossAx val="1088629472"/>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a-DK"/>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a-DK"/>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60325</xdr:colOff>
      <xdr:row>50</xdr:row>
      <xdr:rowOff>111125</xdr:rowOff>
    </xdr:from>
    <xdr:to>
      <xdr:col>1</xdr:col>
      <xdr:colOff>4632325</xdr:colOff>
      <xdr:row>65</xdr:row>
      <xdr:rowOff>92075</xdr:rowOff>
    </xdr:to>
    <xdr:graphicFrame macro="">
      <xdr:nvGraphicFramePr>
        <xdr:cNvPr id="2" name="Chart 1">
          <a:extLst>
            <a:ext uri="{FF2B5EF4-FFF2-40B4-BE49-F238E27FC236}">
              <a16:creationId xmlns:a16="http://schemas.microsoft.com/office/drawing/2014/main" id="{A9F5B871-FFAC-0C29-9054-F9EBCCE5624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371474</xdr:colOff>
      <xdr:row>77</xdr:row>
      <xdr:rowOff>3174</xdr:rowOff>
    </xdr:from>
    <xdr:to>
      <xdr:col>2</xdr:col>
      <xdr:colOff>101599</xdr:colOff>
      <xdr:row>94</xdr:row>
      <xdr:rowOff>31749</xdr:rowOff>
    </xdr:to>
    <xdr:graphicFrame macro="">
      <xdr:nvGraphicFramePr>
        <xdr:cNvPr id="4" name="Chart 3">
          <a:extLst>
            <a:ext uri="{FF2B5EF4-FFF2-40B4-BE49-F238E27FC236}">
              <a16:creationId xmlns:a16="http://schemas.microsoft.com/office/drawing/2014/main" id="{F044B66F-7953-40F8-41A1-C8E3EAA55D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dtudk-my.sharepoint.com/personal/marsali_dtu_dk/Documents/Research%20Assistant%20Work/SLAM%20-%20VUDP%20projekt%20sammen%20med%20KU/L&#230;semateriale/Copy%20of%20Results_PLCI_VUDP_2%20(002)%20-%20Maya-adam.xlsx" TargetMode="External"/><Relationship Id="rId1" Type="http://schemas.openxmlformats.org/officeDocument/2006/relationships/externalLinkPath" Target="https://dtudk-my.sharepoint.com/personal/marsali_dtu_dk/Documents/Research%20Assistant%20Work/SLAM%20-%20VUDP%20projekt%20sammen%20med%20KU/L&#230;semateriale/Copy%20of%20Results_PLCI_VUDP_2%20(002)%20-%20Maya-adam.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 uptake"/>
      <sheetName val="Olsen-P 15"/>
      <sheetName val="Olsen-P 25"/>
      <sheetName val="Olsen-P 50"/>
      <sheetName val="IFs_1"/>
      <sheetName val="IFs_2"/>
      <sheetName val="IFs_3"/>
      <sheetName val="IFs_4"/>
      <sheetName val="IFs_5"/>
    </sheetNames>
    <sheetDataSet>
      <sheetData sheetId="0" refreshError="1"/>
      <sheetData sheetId="1" refreshError="1"/>
      <sheetData sheetId="2" refreshError="1"/>
      <sheetData sheetId="3">
        <row r="10">
          <cell r="Q10">
            <v>6.7605335147854356E-2</v>
          </cell>
        </row>
      </sheetData>
      <sheetData sheetId="4" refreshError="1"/>
      <sheetData sheetId="5" refreshError="1"/>
      <sheetData sheetId="6" refreshError="1"/>
      <sheetData sheetId="7" refreshError="1"/>
      <sheetData sheetId="8" refreshError="1"/>
    </sheetDataSet>
  </externalBook>
</externalLink>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45812A-C39C-4932-8391-E2EA539A609A}">
  <sheetPr>
    <tabColor rgb="FF92D050"/>
  </sheetPr>
  <dimension ref="A1:D9"/>
  <sheetViews>
    <sheetView zoomScale="115" zoomScaleNormal="115" workbookViewId="0">
      <selection activeCell="D12" sqref="D12"/>
    </sheetView>
  </sheetViews>
  <sheetFormatPr defaultRowHeight="15" x14ac:dyDescent="0.25"/>
  <cols>
    <col min="3" max="3" width="13.140625" bestFit="1" customWidth="1"/>
    <col min="4" max="4" width="70.85546875" bestFit="1" customWidth="1"/>
    <col min="5" max="5" width="10.5703125" bestFit="1" customWidth="1"/>
  </cols>
  <sheetData>
    <row r="1" spans="1:4" ht="28.5" x14ac:dyDescent="0.45">
      <c r="A1" s="395" t="s">
        <v>1052</v>
      </c>
    </row>
    <row r="2" spans="1:4" x14ac:dyDescent="0.25">
      <c r="A2" t="s">
        <v>1139</v>
      </c>
    </row>
    <row r="4" spans="1:4" x14ac:dyDescent="0.25">
      <c r="C4" s="183" t="s">
        <v>1135</v>
      </c>
      <c r="D4" s="183" t="s">
        <v>5</v>
      </c>
    </row>
    <row r="5" spans="1:4" x14ac:dyDescent="0.25">
      <c r="C5" s="179" t="s">
        <v>1047</v>
      </c>
      <c r="D5" s="179" t="s">
        <v>1130</v>
      </c>
    </row>
    <row r="6" spans="1:4" x14ac:dyDescent="0.25">
      <c r="C6" s="179" t="s">
        <v>1048</v>
      </c>
      <c r="D6" s="179" t="s">
        <v>1131</v>
      </c>
    </row>
    <row r="7" spans="1:4" x14ac:dyDescent="0.25">
      <c r="C7" s="179" t="s">
        <v>1049</v>
      </c>
      <c r="D7" s="179" t="s">
        <v>1132</v>
      </c>
    </row>
    <row r="8" spans="1:4" x14ac:dyDescent="0.25">
      <c r="C8" s="179" t="s">
        <v>1133</v>
      </c>
      <c r="D8" s="179" t="s">
        <v>1134</v>
      </c>
    </row>
    <row r="9" spans="1:4" x14ac:dyDescent="0.25">
      <c r="C9" s="179" t="s">
        <v>1136</v>
      </c>
      <c r="D9" s="179" t="s">
        <v>1138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1E6E4C-0A50-4151-9490-E05F9FDDD505}">
  <sheetPr>
    <tabColor theme="3" tint="0.89999084444715716"/>
  </sheetPr>
  <dimension ref="A1:AF109"/>
  <sheetViews>
    <sheetView zoomScaleNormal="100" workbookViewId="0">
      <selection activeCell="H9" sqref="H9"/>
    </sheetView>
  </sheetViews>
  <sheetFormatPr defaultRowHeight="15" x14ac:dyDescent="0.25"/>
  <cols>
    <col min="1" max="1" width="22" bestFit="1" customWidth="1"/>
    <col min="3" max="3" width="15.42578125" style="10" bestFit="1" customWidth="1"/>
    <col min="5" max="5" width="30.140625" customWidth="1"/>
    <col min="6" max="6" width="23.140625" customWidth="1"/>
    <col min="7" max="7" width="18.85546875" customWidth="1"/>
    <col min="8" max="8" width="32.140625" bestFit="1" customWidth="1"/>
    <col min="9" max="9" width="18.85546875" bestFit="1" customWidth="1"/>
    <col min="10" max="10" width="100.5703125" bestFit="1" customWidth="1"/>
    <col min="11" max="11" width="31.42578125" bestFit="1" customWidth="1"/>
    <col min="12" max="12" width="18.5703125" bestFit="1" customWidth="1"/>
    <col min="13" max="13" width="13.42578125" bestFit="1" customWidth="1"/>
    <col min="14" max="14" width="101.140625" bestFit="1" customWidth="1"/>
    <col min="15" max="16" width="17.140625" bestFit="1" customWidth="1"/>
    <col min="18" max="18" width="48.5703125" bestFit="1" customWidth="1"/>
    <col min="19" max="19" width="106.85546875" bestFit="1" customWidth="1"/>
    <col min="27" max="27" width="8.85546875" style="10"/>
    <col min="28" max="28" width="8.85546875" customWidth="1"/>
    <col min="30" max="30" width="21.5703125" bestFit="1" customWidth="1"/>
    <col min="31" max="31" width="22.5703125" bestFit="1" customWidth="1"/>
    <col min="32" max="32" width="7.140625" bestFit="1" customWidth="1"/>
    <col min="33" max="37" width="7.140625" customWidth="1"/>
    <col min="38" max="38" width="14.42578125" bestFit="1" customWidth="1"/>
    <col min="39" max="39" width="18.140625" bestFit="1" customWidth="1"/>
    <col min="40" max="40" width="100.5703125" bestFit="1" customWidth="1"/>
    <col min="41" max="41" width="48.85546875" bestFit="1" customWidth="1"/>
    <col min="42" max="42" width="21.5703125" bestFit="1" customWidth="1"/>
    <col min="45" max="45" width="10" bestFit="1" customWidth="1"/>
    <col min="47" max="47" width="12" bestFit="1" customWidth="1"/>
    <col min="56" max="56" width="12.42578125" bestFit="1" customWidth="1"/>
  </cols>
  <sheetData>
    <row r="1" spans="1:32" ht="21" x14ac:dyDescent="0.35">
      <c r="A1" s="87" t="s">
        <v>1086</v>
      </c>
      <c r="C1" s="172"/>
      <c r="D1" s="163" t="s">
        <v>505</v>
      </c>
      <c r="E1" s="162"/>
      <c r="AB1" t="s">
        <v>573</v>
      </c>
      <c r="AF1" t="s">
        <v>583</v>
      </c>
    </row>
    <row r="2" spans="1:32" ht="15.75" thickBot="1" x14ac:dyDescent="0.3">
      <c r="E2" t="s">
        <v>1054</v>
      </c>
      <c r="AB2" s="7" t="s">
        <v>35</v>
      </c>
      <c r="AD2" t="str" cm="1">
        <f t="array" ref="AD2:AD5">_xlfn.UNIQUE(AB2:AB8)</f>
        <v>heat background</v>
      </c>
      <c r="AE2" s="26" t="s">
        <v>35</v>
      </c>
      <c r="AF2" t="s">
        <v>579</v>
      </c>
    </row>
    <row r="3" spans="1:32" ht="15.75" thickBot="1" x14ac:dyDescent="0.3">
      <c r="E3" s="157" t="s">
        <v>405</v>
      </c>
      <c r="F3" s="158" t="s">
        <v>406</v>
      </c>
      <c r="G3" s="158" t="s">
        <v>407</v>
      </c>
      <c r="H3" s="364" t="s">
        <v>936</v>
      </c>
      <c r="I3" s="364" t="s">
        <v>937</v>
      </c>
      <c r="J3" s="157" t="s">
        <v>1013</v>
      </c>
      <c r="K3" s="180" t="s">
        <v>1015</v>
      </c>
      <c r="L3" s="157" t="s">
        <v>32</v>
      </c>
      <c r="M3" s="158" t="s">
        <v>1016</v>
      </c>
      <c r="N3" s="158" t="s">
        <v>5</v>
      </c>
      <c r="O3" s="158" t="s">
        <v>938</v>
      </c>
      <c r="P3" s="158" t="s">
        <v>952</v>
      </c>
      <c r="Q3" s="158"/>
      <c r="R3" s="158" t="s">
        <v>33</v>
      </c>
      <c r="S3" s="158" t="s">
        <v>1053</v>
      </c>
      <c r="AB3" s="7" t="s">
        <v>36</v>
      </c>
      <c r="AD3" t="str">
        <v>Electricity Generation mix</v>
      </c>
      <c r="AE3" s="26" t="s">
        <v>36</v>
      </c>
      <c r="AF3" t="s">
        <v>580</v>
      </c>
    </row>
    <row r="4" spans="1:32" ht="15.75" thickBot="1" x14ac:dyDescent="0.3">
      <c r="E4" s="359" t="s">
        <v>0</v>
      </c>
      <c r="F4" s="360"/>
      <c r="G4" s="360"/>
      <c r="H4" s="360"/>
      <c r="I4" s="360"/>
      <c r="J4" s="360"/>
      <c r="K4" s="360"/>
      <c r="L4" s="360"/>
      <c r="M4" s="360"/>
      <c r="N4" s="360"/>
      <c r="O4" s="360"/>
      <c r="P4" s="360"/>
      <c r="Q4" s="360"/>
      <c r="R4" s="360"/>
      <c r="S4" s="360"/>
      <c r="AB4" s="7" t="s">
        <v>37</v>
      </c>
      <c r="AD4" t="str">
        <v>diesel, low-sulfur,diesel production, low-sulfur, petroleum refinery operation,RoW</v>
      </c>
      <c r="AE4" s="26" t="s">
        <v>37</v>
      </c>
      <c r="AF4" t="s">
        <v>581</v>
      </c>
    </row>
    <row r="5" spans="1:32" ht="16.5" thickBot="1" x14ac:dyDescent="0.3">
      <c r="C5" s="153"/>
      <c r="D5" s="7"/>
      <c r="E5" s="173" t="s">
        <v>409</v>
      </c>
      <c r="F5" s="160" t="s">
        <v>9</v>
      </c>
      <c r="G5" s="160">
        <v>72.8</v>
      </c>
      <c r="H5" s="160"/>
      <c r="I5" s="160"/>
      <c r="J5" s="160" t="s">
        <v>410</v>
      </c>
      <c r="K5" s="160"/>
      <c r="L5" s="160" t="s">
        <v>411</v>
      </c>
      <c r="M5" s="160"/>
      <c r="N5" s="160" t="s">
        <v>412</v>
      </c>
      <c r="O5" s="160" t="s">
        <v>1017</v>
      </c>
      <c r="P5" s="160"/>
      <c r="Q5" s="160"/>
      <c r="R5" s="160"/>
      <c r="S5" s="160"/>
      <c r="AB5" s="7" t="s">
        <v>36</v>
      </c>
      <c r="AD5" t="str">
        <v>polyacrylamide,polyacrylamide production,GLO</v>
      </c>
      <c r="AE5" s="26" t="s">
        <v>38</v>
      </c>
      <c r="AF5" t="s">
        <v>582</v>
      </c>
    </row>
    <row r="6" spans="1:32" ht="15.75" thickBot="1" x14ac:dyDescent="0.3">
      <c r="D6" s="7"/>
      <c r="E6" s="173" t="s">
        <v>413</v>
      </c>
      <c r="F6" s="160" t="s">
        <v>10</v>
      </c>
      <c r="G6" s="160">
        <v>65</v>
      </c>
      <c r="H6" s="160"/>
      <c r="I6" s="160">
        <v>64</v>
      </c>
      <c r="J6" s="160" t="s">
        <v>414</v>
      </c>
      <c r="K6" s="160"/>
      <c r="L6" s="160" t="s">
        <v>11</v>
      </c>
      <c r="M6" s="160"/>
      <c r="N6" s="160"/>
      <c r="O6" s="160" t="s">
        <v>1075</v>
      </c>
      <c r="P6" s="160" t="s">
        <v>1076</v>
      </c>
      <c r="Q6" s="160"/>
      <c r="R6" s="160"/>
      <c r="S6" s="160"/>
      <c r="AB6" s="7" t="s">
        <v>35</v>
      </c>
    </row>
    <row r="7" spans="1:32" ht="15.75" thickBot="1" x14ac:dyDescent="0.3">
      <c r="D7" s="7"/>
      <c r="E7" s="173" t="s">
        <v>415</v>
      </c>
      <c r="F7" s="160" t="s">
        <v>19</v>
      </c>
      <c r="G7" s="160">
        <v>2.7</v>
      </c>
      <c r="H7" s="160"/>
      <c r="I7" s="160"/>
      <c r="J7" s="160" t="s">
        <v>20</v>
      </c>
      <c r="K7" s="160"/>
      <c r="L7" s="160" t="s">
        <v>416</v>
      </c>
      <c r="M7" s="160"/>
      <c r="N7" s="160" t="s">
        <v>417</v>
      </c>
      <c r="O7" s="160" t="s">
        <v>1076</v>
      </c>
      <c r="P7" s="160"/>
      <c r="Q7" s="160"/>
      <c r="R7" s="160" t="s">
        <v>572</v>
      </c>
      <c r="S7" s="160"/>
      <c r="AB7" s="7" t="s">
        <v>38</v>
      </c>
      <c r="AC7" s="5"/>
      <c r="AD7" s="5"/>
    </row>
    <row r="8" spans="1:32" ht="15.75" thickBot="1" x14ac:dyDescent="0.3">
      <c r="D8" s="7"/>
      <c r="E8" s="173" t="s">
        <v>106</v>
      </c>
      <c r="F8" s="160" t="s">
        <v>14</v>
      </c>
      <c r="G8" s="160">
        <f>50/1000</f>
        <v>0.05</v>
      </c>
      <c r="H8" s="160" t="s">
        <v>1024</v>
      </c>
      <c r="I8" s="160"/>
      <c r="J8" s="160" t="s">
        <v>15</v>
      </c>
      <c r="K8" s="160"/>
      <c r="L8" s="160" t="s">
        <v>419</v>
      </c>
      <c r="M8" s="160"/>
      <c r="N8" s="160" t="s">
        <v>420</v>
      </c>
      <c r="O8" s="160" t="s">
        <v>1075</v>
      </c>
      <c r="P8" s="160" t="s">
        <v>1076</v>
      </c>
      <c r="Q8" s="160"/>
      <c r="R8" s="160" t="s">
        <v>418</v>
      </c>
      <c r="S8" s="160" t="s">
        <v>1018</v>
      </c>
      <c r="AB8" s="7" t="s">
        <v>36</v>
      </c>
    </row>
    <row r="9" spans="1:32" ht="15.75" thickBot="1" x14ac:dyDescent="0.3">
      <c r="E9" s="173" t="s">
        <v>421</v>
      </c>
      <c r="F9" s="160" t="s">
        <v>1023</v>
      </c>
      <c r="G9" s="160"/>
      <c r="H9" s="160" t="s">
        <v>1023</v>
      </c>
      <c r="I9" s="160"/>
      <c r="J9" s="160"/>
      <c r="K9" s="160"/>
      <c r="L9" s="160" t="s">
        <v>34</v>
      </c>
      <c r="M9" s="160"/>
      <c r="N9" s="160" t="s">
        <v>423</v>
      </c>
      <c r="O9" s="160" t="s">
        <v>1076</v>
      </c>
      <c r="P9" s="160"/>
      <c r="Q9" s="160"/>
      <c r="R9" s="160" t="s">
        <v>422</v>
      </c>
      <c r="S9" s="160"/>
    </row>
    <row r="10" spans="1:32" ht="15.75" thickBot="1" x14ac:dyDescent="0.3">
      <c r="D10" s="7"/>
      <c r="E10" s="173" t="s">
        <v>424</v>
      </c>
      <c r="F10" s="160" t="s">
        <v>1022</v>
      </c>
      <c r="G10" s="160">
        <f>(1.8*1000)/1000</f>
        <v>1.8</v>
      </c>
      <c r="H10" s="160" t="s">
        <v>1023</v>
      </c>
      <c r="I10" s="160"/>
      <c r="J10" s="160"/>
      <c r="K10" s="160"/>
      <c r="L10" s="160" t="s">
        <v>426</v>
      </c>
      <c r="M10" s="160"/>
      <c r="N10" s="160" t="s">
        <v>427</v>
      </c>
      <c r="O10" s="160" t="s">
        <v>1076</v>
      </c>
      <c r="P10" s="160" t="s">
        <v>1075</v>
      </c>
      <c r="Q10" s="160"/>
      <c r="R10" s="160" t="s">
        <v>425</v>
      </c>
      <c r="S10" s="160"/>
    </row>
    <row r="11" spans="1:32" ht="15.75" thickBot="1" x14ac:dyDescent="0.3">
      <c r="E11" s="359" t="s">
        <v>7</v>
      </c>
      <c r="F11" s="360"/>
      <c r="G11" s="360"/>
      <c r="H11" s="360"/>
      <c r="I11" s="360"/>
      <c r="J11" s="360"/>
      <c r="K11" s="360"/>
      <c r="L11" s="360"/>
      <c r="M11" s="360"/>
      <c r="N11" s="360"/>
      <c r="O11" s="360"/>
      <c r="P11" s="360"/>
      <c r="Q11" s="360"/>
      <c r="R11" s="360"/>
      <c r="S11" s="360"/>
    </row>
    <row r="12" spans="1:32" ht="16.5" thickBot="1" x14ac:dyDescent="0.3">
      <c r="D12" s="7"/>
      <c r="E12" s="173" t="s">
        <v>428</v>
      </c>
      <c r="F12" s="160" t="s">
        <v>12</v>
      </c>
      <c r="G12" s="160">
        <v>3</v>
      </c>
      <c r="H12" s="160">
        <v>7.5</v>
      </c>
      <c r="J12" s="160" t="s">
        <v>13</v>
      </c>
      <c r="K12" s="160" t="s">
        <v>1000</v>
      </c>
      <c r="L12" s="160" t="s">
        <v>11</v>
      </c>
      <c r="M12" s="160"/>
      <c r="N12" s="160"/>
      <c r="O12" s="160" t="s">
        <v>1078</v>
      </c>
      <c r="P12" s="160" t="s">
        <v>1076</v>
      </c>
      <c r="Q12" s="160"/>
      <c r="R12" s="160" t="s">
        <v>1001</v>
      </c>
      <c r="S12" s="160"/>
    </row>
    <row r="13" spans="1:32" ht="15.75" thickBot="1" x14ac:dyDescent="0.3">
      <c r="E13" s="359" t="s">
        <v>429</v>
      </c>
      <c r="F13" s="360"/>
      <c r="G13" s="192"/>
      <c r="H13" s="192"/>
      <c r="I13" s="192"/>
      <c r="J13" s="360"/>
      <c r="K13" s="360"/>
      <c r="L13" s="360"/>
      <c r="M13" s="360"/>
      <c r="N13" s="360"/>
      <c r="O13" s="360"/>
      <c r="P13" s="360"/>
      <c r="Q13" s="360"/>
      <c r="R13" s="360"/>
      <c r="S13" s="360"/>
    </row>
    <row r="14" spans="1:32" ht="15.75" thickBot="1" x14ac:dyDescent="0.3">
      <c r="D14" s="7"/>
      <c r="E14" s="173" t="s">
        <v>270</v>
      </c>
      <c r="F14" s="181" t="s">
        <v>16</v>
      </c>
      <c r="G14" s="362">
        <v>40.6</v>
      </c>
      <c r="H14" s="362">
        <v>38.1</v>
      </c>
      <c r="I14" s="362"/>
      <c r="J14" s="160" t="s">
        <v>17</v>
      </c>
      <c r="K14" s="160"/>
      <c r="L14" s="160" t="s">
        <v>11</v>
      </c>
      <c r="M14" s="160"/>
      <c r="N14" s="160"/>
      <c r="O14" s="160" t="s">
        <v>1075</v>
      </c>
      <c r="P14" s="160" t="s">
        <v>1077</v>
      </c>
      <c r="Q14" s="160"/>
      <c r="R14" s="160" t="s">
        <v>569</v>
      </c>
      <c r="S14" s="160"/>
    </row>
    <row r="15" spans="1:32" ht="15.75" thickBot="1" x14ac:dyDescent="0.3">
      <c r="E15" s="173" t="s">
        <v>430</v>
      </c>
      <c r="F15" s="181" t="s">
        <v>18</v>
      </c>
      <c r="G15" s="363">
        <v>49.4</v>
      </c>
      <c r="H15" s="363">
        <v>41.3</v>
      </c>
      <c r="I15" s="363"/>
      <c r="J15" s="160" t="s">
        <v>431</v>
      </c>
      <c r="K15" s="160"/>
      <c r="L15" s="160" t="s">
        <v>11</v>
      </c>
      <c r="M15" s="160"/>
      <c r="N15" s="160"/>
      <c r="O15" s="160" t="s">
        <v>1075</v>
      </c>
      <c r="P15" s="160" t="s">
        <v>1077</v>
      </c>
      <c r="Q15" s="160"/>
      <c r="R15" s="160" t="s">
        <v>569</v>
      </c>
      <c r="S15" s="160"/>
    </row>
    <row r="16" spans="1:32" ht="15.75" thickBot="1" x14ac:dyDescent="0.3">
      <c r="D16" s="7"/>
      <c r="E16" s="173" t="s">
        <v>432</v>
      </c>
      <c r="F16" s="181" t="s">
        <v>433</v>
      </c>
      <c r="G16" s="159">
        <f>100-G14-G15</f>
        <v>10</v>
      </c>
      <c r="H16" s="159">
        <v>20.6</v>
      </c>
      <c r="I16" s="159"/>
      <c r="J16" s="160"/>
      <c r="K16" s="160"/>
      <c r="L16" s="160" t="s">
        <v>11</v>
      </c>
      <c r="M16" s="160"/>
      <c r="N16" s="160"/>
      <c r="O16" s="160" t="s">
        <v>1075</v>
      </c>
      <c r="P16" s="160" t="s">
        <v>1077</v>
      </c>
      <c r="Q16" s="160"/>
      <c r="R16" s="160" t="s">
        <v>569</v>
      </c>
      <c r="S16" s="160"/>
    </row>
    <row r="17" spans="3:19" ht="15.75" thickBot="1" x14ac:dyDescent="0.3">
      <c r="E17" s="359" t="s">
        <v>434</v>
      </c>
      <c r="F17" s="360"/>
      <c r="G17" s="361"/>
      <c r="H17" s="361"/>
      <c r="I17" s="361"/>
      <c r="J17" s="360"/>
      <c r="K17" s="360"/>
      <c r="L17" s="360"/>
      <c r="M17" s="360"/>
      <c r="N17" s="360"/>
      <c r="O17" s="360"/>
      <c r="P17" s="360"/>
      <c r="Q17" s="360"/>
      <c r="R17" s="360"/>
      <c r="S17" s="360"/>
    </row>
    <row r="18" spans="3:19" ht="16.5" thickBot="1" x14ac:dyDescent="0.3">
      <c r="D18" s="7"/>
      <c r="E18" s="173" t="s">
        <v>434</v>
      </c>
      <c r="F18" s="160" t="s">
        <v>435</v>
      </c>
      <c r="G18" s="160"/>
      <c r="H18" s="160"/>
      <c r="I18" s="160"/>
      <c r="J18" s="160"/>
      <c r="K18" s="160"/>
      <c r="L18" s="160" t="s">
        <v>436</v>
      </c>
      <c r="M18" s="160"/>
      <c r="N18" s="160"/>
      <c r="O18" s="160" t="s">
        <v>1076</v>
      </c>
      <c r="P18" s="160"/>
      <c r="Q18" s="160"/>
      <c r="R18" s="160"/>
      <c r="S18" s="160" t="s">
        <v>1020</v>
      </c>
    </row>
    <row r="19" spans="3:19" ht="15.75" thickBot="1" x14ac:dyDescent="0.3">
      <c r="E19" s="359" t="s">
        <v>437</v>
      </c>
      <c r="F19" s="360"/>
      <c r="G19" s="360"/>
      <c r="H19" s="360"/>
      <c r="I19" s="360"/>
      <c r="J19" s="360"/>
      <c r="K19" s="360"/>
      <c r="L19" s="360"/>
      <c r="M19" s="360"/>
      <c r="N19" s="360"/>
      <c r="O19" s="360"/>
      <c r="P19" s="360"/>
      <c r="Q19" s="360"/>
      <c r="R19" s="360"/>
      <c r="S19" s="360"/>
    </row>
    <row r="20" spans="3:19" ht="16.5" thickBot="1" x14ac:dyDescent="0.3">
      <c r="D20" s="7"/>
      <c r="E20" s="173" t="s">
        <v>437</v>
      </c>
      <c r="F20" s="160" t="s">
        <v>438</v>
      </c>
      <c r="G20" s="160">
        <v>38</v>
      </c>
      <c r="H20" s="160"/>
      <c r="I20" s="160"/>
      <c r="J20" s="160"/>
      <c r="K20" s="160"/>
      <c r="L20" s="160" t="s">
        <v>439</v>
      </c>
      <c r="M20" s="160"/>
      <c r="N20" s="160"/>
      <c r="O20" s="160" t="s">
        <v>1076</v>
      </c>
      <c r="P20" s="160"/>
      <c r="Q20" s="160"/>
      <c r="R20" s="160"/>
      <c r="S20" s="160" t="s">
        <v>1019</v>
      </c>
    </row>
    <row r="21" spans="3:19" x14ac:dyDescent="0.25">
      <c r="C21" s="153"/>
      <c r="D21" s="7"/>
      <c r="E21" s="7"/>
      <c r="F21" s="7"/>
      <c r="G21" s="7"/>
      <c r="H21" s="7"/>
      <c r="I21" s="7"/>
    </row>
    <row r="22" spans="3:19" x14ac:dyDescent="0.25">
      <c r="C22" s="153"/>
      <c r="D22" s="7"/>
      <c r="I22" s="7"/>
    </row>
    <row r="23" spans="3:19" ht="15.75" thickBot="1" x14ac:dyDescent="0.3">
      <c r="C23" s="153"/>
      <c r="D23" s="7"/>
      <c r="E23" s="161" t="s">
        <v>1056</v>
      </c>
      <c r="F23" s="7"/>
      <c r="G23" s="7"/>
      <c r="H23" s="7"/>
      <c r="I23" s="7"/>
    </row>
    <row r="24" spans="3:19" ht="15.75" thickBot="1" x14ac:dyDescent="0.3">
      <c r="E24" s="157" t="s">
        <v>440</v>
      </c>
      <c r="F24" s="158" t="s">
        <v>441</v>
      </c>
      <c r="G24" s="158" t="s">
        <v>405</v>
      </c>
      <c r="H24" s="158" t="s">
        <v>442</v>
      </c>
      <c r="I24" s="158" t="s">
        <v>1021</v>
      </c>
    </row>
    <row r="25" spans="3:19" ht="16.5" thickBot="1" x14ac:dyDescent="0.3">
      <c r="E25" s="173" t="s">
        <v>443</v>
      </c>
      <c r="F25" s="160">
        <v>100</v>
      </c>
      <c r="G25" s="160" t="s">
        <v>444</v>
      </c>
      <c r="H25" s="160" t="s">
        <v>445</v>
      </c>
      <c r="I25" s="160" t="s">
        <v>1076</v>
      </c>
    </row>
    <row r="26" spans="3:19" ht="16.5" thickBot="1" x14ac:dyDescent="0.3">
      <c r="E26" s="173" t="s">
        <v>446</v>
      </c>
      <c r="F26" s="160">
        <v>100</v>
      </c>
      <c r="G26" s="160" t="s">
        <v>447</v>
      </c>
      <c r="H26" s="160" t="s">
        <v>448</v>
      </c>
      <c r="I26" s="160" t="s">
        <v>1076</v>
      </c>
    </row>
    <row r="27" spans="3:19" x14ac:dyDescent="0.25">
      <c r="E27" s="161" t="s">
        <v>449</v>
      </c>
    </row>
    <row r="28" spans="3:19" x14ac:dyDescent="0.25">
      <c r="E28" s="161" t="s">
        <v>450</v>
      </c>
    </row>
    <row r="30" spans="3:19" x14ac:dyDescent="0.25">
      <c r="C30" s="152"/>
    </row>
    <row r="31" spans="3:19" ht="15.75" thickBot="1" x14ac:dyDescent="0.3">
      <c r="C31" s="152"/>
      <c r="E31" t="s">
        <v>1055</v>
      </c>
    </row>
    <row r="32" spans="3:19" ht="15.75" thickBot="1" x14ac:dyDescent="0.3">
      <c r="C32" s="152"/>
      <c r="E32" s="157" t="s">
        <v>451</v>
      </c>
      <c r="F32" s="158" t="s">
        <v>452</v>
      </c>
      <c r="G32" s="158" t="s">
        <v>32</v>
      </c>
      <c r="H32" s="158" t="s">
        <v>1021</v>
      </c>
    </row>
    <row r="33" spans="5:8" ht="16.5" thickBot="1" x14ac:dyDescent="0.3">
      <c r="E33" s="173" t="s">
        <v>453</v>
      </c>
      <c r="F33" s="160" t="s">
        <v>454</v>
      </c>
      <c r="G33" s="160" t="s">
        <v>455</v>
      </c>
      <c r="H33" s="160" t="s">
        <v>1076</v>
      </c>
    </row>
    <row r="34" spans="5:8" ht="16.5" thickBot="1" x14ac:dyDescent="0.3">
      <c r="E34" s="173" t="s">
        <v>456</v>
      </c>
      <c r="F34" s="160" t="s">
        <v>457</v>
      </c>
      <c r="G34" s="160" t="s">
        <v>455</v>
      </c>
      <c r="H34" s="160" t="s">
        <v>1076</v>
      </c>
    </row>
    <row r="35" spans="5:8" ht="16.5" thickBot="1" x14ac:dyDescent="0.3">
      <c r="E35" s="173" t="s">
        <v>458</v>
      </c>
      <c r="F35" s="160" t="s">
        <v>459</v>
      </c>
      <c r="G35" s="160" t="s">
        <v>455</v>
      </c>
      <c r="H35" s="160" t="s">
        <v>1076</v>
      </c>
    </row>
    <row r="36" spans="5:8" ht="16.5" thickBot="1" x14ac:dyDescent="0.3">
      <c r="E36" s="173" t="s">
        <v>460</v>
      </c>
      <c r="F36" s="160" t="s">
        <v>461</v>
      </c>
      <c r="G36" s="160" t="s">
        <v>455</v>
      </c>
      <c r="H36" s="160" t="s">
        <v>1076</v>
      </c>
    </row>
    <row r="37" spans="5:8" ht="16.5" thickBot="1" x14ac:dyDescent="0.3">
      <c r="E37" s="173" t="s">
        <v>462</v>
      </c>
      <c r="F37" s="160" t="s">
        <v>463</v>
      </c>
      <c r="G37" s="160" t="s">
        <v>455</v>
      </c>
      <c r="H37" s="160" t="s">
        <v>1076</v>
      </c>
    </row>
    <row r="38" spans="5:8" ht="16.5" thickBot="1" x14ac:dyDescent="0.3">
      <c r="E38" s="173" t="s">
        <v>464</v>
      </c>
      <c r="F38" s="160" t="s">
        <v>465</v>
      </c>
      <c r="G38" s="160" t="s">
        <v>455</v>
      </c>
      <c r="H38" s="160" t="s">
        <v>1076</v>
      </c>
    </row>
    <row r="39" spans="5:8" ht="16.5" thickBot="1" x14ac:dyDescent="0.3">
      <c r="E39" s="173" t="s">
        <v>466</v>
      </c>
      <c r="F39" s="160" t="s">
        <v>467</v>
      </c>
      <c r="G39" s="160" t="s">
        <v>455</v>
      </c>
      <c r="H39" s="160" t="s">
        <v>1076</v>
      </c>
    </row>
    <row r="40" spans="5:8" ht="16.5" thickBot="1" x14ac:dyDescent="0.3">
      <c r="E40" s="173" t="s">
        <v>468</v>
      </c>
      <c r="F40" s="160" t="s">
        <v>469</v>
      </c>
      <c r="G40" s="160" t="s">
        <v>455</v>
      </c>
      <c r="H40" s="160" t="s">
        <v>1076</v>
      </c>
    </row>
    <row r="41" spans="5:8" ht="16.5" thickBot="1" x14ac:dyDescent="0.3">
      <c r="E41" s="173" t="s">
        <v>470</v>
      </c>
      <c r="F41" s="160" t="s">
        <v>471</v>
      </c>
      <c r="G41" s="160" t="s">
        <v>455</v>
      </c>
      <c r="H41" s="160" t="s">
        <v>1076</v>
      </c>
    </row>
    <row r="42" spans="5:8" ht="16.5" thickBot="1" x14ac:dyDescent="0.3">
      <c r="E42" s="173" t="s">
        <v>472</v>
      </c>
      <c r="F42" s="160" t="s">
        <v>473</v>
      </c>
      <c r="G42" s="160" t="s">
        <v>455</v>
      </c>
      <c r="H42" s="160" t="s">
        <v>1076</v>
      </c>
    </row>
    <row r="43" spans="5:8" ht="16.5" thickBot="1" x14ac:dyDescent="0.3">
      <c r="E43" s="173" t="s">
        <v>474</v>
      </c>
      <c r="F43" s="160" t="s">
        <v>475</v>
      </c>
      <c r="G43" s="160" t="s">
        <v>455</v>
      </c>
      <c r="H43" s="160" t="s">
        <v>1076</v>
      </c>
    </row>
    <row r="44" spans="5:8" ht="16.5" thickBot="1" x14ac:dyDescent="0.3">
      <c r="E44" s="173" t="s">
        <v>476</v>
      </c>
      <c r="F44" s="160" t="s">
        <v>477</v>
      </c>
      <c r="G44" s="160" t="s">
        <v>455</v>
      </c>
      <c r="H44" s="160" t="s">
        <v>1076</v>
      </c>
    </row>
    <row r="45" spans="5:8" ht="16.5" thickBot="1" x14ac:dyDescent="0.3">
      <c r="E45" s="173" t="s">
        <v>478</v>
      </c>
      <c r="F45" s="160" t="s">
        <v>479</v>
      </c>
      <c r="G45" s="160" t="s">
        <v>455</v>
      </c>
      <c r="H45" s="160" t="s">
        <v>1076</v>
      </c>
    </row>
    <row r="46" spans="5:8" ht="16.5" thickBot="1" x14ac:dyDescent="0.3">
      <c r="E46" s="173" t="s">
        <v>480</v>
      </c>
      <c r="F46" s="160" t="s">
        <v>481</v>
      </c>
      <c r="G46" s="160" t="s">
        <v>455</v>
      </c>
      <c r="H46" s="160" t="s">
        <v>1076</v>
      </c>
    </row>
    <row r="47" spans="5:8" ht="16.5" thickBot="1" x14ac:dyDescent="0.3">
      <c r="E47" s="173" t="s">
        <v>482</v>
      </c>
      <c r="F47" s="160" t="s">
        <v>483</v>
      </c>
      <c r="G47" s="160" t="s">
        <v>455</v>
      </c>
      <c r="H47" s="160" t="s">
        <v>1076</v>
      </c>
    </row>
    <row r="48" spans="5:8" ht="16.5" thickBot="1" x14ac:dyDescent="0.3">
      <c r="E48" s="173" t="s">
        <v>484</v>
      </c>
      <c r="F48" s="160" t="s">
        <v>471</v>
      </c>
      <c r="G48" s="160" t="s">
        <v>455</v>
      </c>
      <c r="H48" s="160" t="s">
        <v>1076</v>
      </c>
    </row>
    <row r="49" spans="4:15" ht="16.5" thickBot="1" x14ac:dyDescent="0.3">
      <c r="E49" s="173" t="s">
        <v>485</v>
      </c>
      <c r="F49" s="160" t="s">
        <v>486</v>
      </c>
      <c r="G49" s="160" t="s">
        <v>455</v>
      </c>
      <c r="H49" s="160" t="s">
        <v>1076</v>
      </c>
    </row>
    <row r="50" spans="4:15" ht="16.5" thickBot="1" x14ac:dyDescent="0.3">
      <c r="E50" s="173" t="s">
        <v>487</v>
      </c>
      <c r="F50" s="160" t="s">
        <v>488</v>
      </c>
      <c r="G50" s="160" t="s">
        <v>455</v>
      </c>
      <c r="H50" s="160" t="s">
        <v>1076</v>
      </c>
    </row>
    <row r="51" spans="4:15" ht="16.5" thickBot="1" x14ac:dyDescent="0.3">
      <c r="E51" s="173" t="s">
        <v>489</v>
      </c>
      <c r="F51" s="160" t="s">
        <v>490</v>
      </c>
      <c r="G51" s="160" t="s">
        <v>455</v>
      </c>
      <c r="H51" s="160" t="s">
        <v>1076</v>
      </c>
      <c r="I51" s="17"/>
      <c r="J51" s="17"/>
    </row>
    <row r="52" spans="4:15" ht="16.5" thickBot="1" x14ac:dyDescent="0.3">
      <c r="E52" s="173" t="s">
        <v>444</v>
      </c>
      <c r="F52" s="160" t="s">
        <v>491</v>
      </c>
      <c r="G52" s="160" t="s">
        <v>455</v>
      </c>
      <c r="H52" s="160" t="s">
        <v>1076</v>
      </c>
      <c r="I52" s="17"/>
      <c r="J52" s="17"/>
    </row>
    <row r="53" spans="4:15" ht="16.5" thickBot="1" x14ac:dyDescent="0.3">
      <c r="E53" s="173" t="s">
        <v>492</v>
      </c>
      <c r="F53" s="160" t="s">
        <v>493</v>
      </c>
      <c r="G53" s="160" t="s">
        <v>455</v>
      </c>
      <c r="H53" s="160" t="s">
        <v>1076</v>
      </c>
      <c r="I53" s="17"/>
      <c r="J53" s="17"/>
    </row>
    <row r="54" spans="4:15" ht="16.5" thickBot="1" x14ac:dyDescent="0.3">
      <c r="E54" s="173" t="s">
        <v>494</v>
      </c>
      <c r="F54" s="160" t="s">
        <v>495</v>
      </c>
      <c r="G54" s="160" t="s">
        <v>455</v>
      </c>
      <c r="H54" s="160" t="s">
        <v>1076</v>
      </c>
      <c r="I54" s="17"/>
      <c r="J54" s="17"/>
    </row>
    <row r="55" spans="4:15" ht="16.5" thickBot="1" x14ac:dyDescent="0.3">
      <c r="E55" s="173" t="s">
        <v>496</v>
      </c>
      <c r="F55" s="160" t="s">
        <v>497</v>
      </c>
      <c r="G55" s="160" t="s">
        <v>455</v>
      </c>
      <c r="H55" s="160" t="s">
        <v>1076</v>
      </c>
      <c r="I55" s="17"/>
      <c r="J55" s="17"/>
    </row>
    <row r="56" spans="4:15" ht="16.5" thickBot="1" x14ac:dyDescent="0.3">
      <c r="E56" s="173" t="s">
        <v>498</v>
      </c>
      <c r="F56" s="160" t="s">
        <v>499</v>
      </c>
      <c r="G56" s="160" t="s">
        <v>455</v>
      </c>
      <c r="H56" s="160" t="s">
        <v>1076</v>
      </c>
      <c r="I56" s="17"/>
      <c r="J56" s="17"/>
    </row>
    <row r="57" spans="4:15" ht="16.5" thickBot="1" x14ac:dyDescent="0.3">
      <c r="E57" s="173" t="s">
        <v>500</v>
      </c>
      <c r="F57" s="160" t="s">
        <v>501</v>
      </c>
      <c r="G57" s="160" t="s">
        <v>455</v>
      </c>
      <c r="H57" s="160" t="s">
        <v>1076</v>
      </c>
      <c r="I57" s="17"/>
      <c r="J57" s="17"/>
    </row>
    <row r="58" spans="4:15" ht="16.5" thickBot="1" x14ac:dyDescent="0.3">
      <c r="E58" s="173" t="s">
        <v>502</v>
      </c>
      <c r="F58" s="160" t="s">
        <v>503</v>
      </c>
      <c r="G58" s="160" t="s">
        <v>455</v>
      </c>
      <c r="H58" s="160" t="s">
        <v>1076</v>
      </c>
      <c r="I58" s="17"/>
      <c r="J58" s="17"/>
    </row>
    <row r="59" spans="4:15" x14ac:dyDescent="0.25">
      <c r="D59" s="17"/>
      <c r="E59" s="17" t="s">
        <v>504</v>
      </c>
      <c r="F59" s="17"/>
      <c r="G59" s="17"/>
      <c r="H59" s="17"/>
      <c r="I59" s="17"/>
      <c r="J59" s="17"/>
    </row>
    <row r="60" spans="4:15" x14ac:dyDescent="0.25">
      <c r="D60" s="17"/>
      <c r="E60" s="17"/>
      <c r="F60" s="17"/>
      <c r="G60" s="17"/>
      <c r="H60" s="17"/>
      <c r="I60" s="17"/>
      <c r="J60" s="17"/>
    </row>
    <row r="61" spans="4:15" x14ac:dyDescent="0.25">
      <c r="D61" s="17"/>
      <c r="E61" s="17"/>
      <c r="F61" s="17"/>
      <c r="G61" s="17"/>
      <c r="H61" s="17"/>
      <c r="I61" s="17"/>
      <c r="J61" s="17"/>
    </row>
    <row r="62" spans="4:15" x14ac:dyDescent="0.25">
      <c r="D62" s="163" t="s">
        <v>519</v>
      </c>
      <c r="E62" s="162"/>
    </row>
    <row r="63" spans="4:15" ht="15.75" thickBot="1" x14ac:dyDescent="0.3">
      <c r="E63" t="s">
        <v>1057</v>
      </c>
    </row>
    <row r="64" spans="4:15" ht="15.75" thickBot="1" x14ac:dyDescent="0.3">
      <c r="E64" s="157" t="s">
        <v>405</v>
      </c>
      <c r="F64" s="155" t="s">
        <v>31</v>
      </c>
      <c r="G64" s="155" t="s">
        <v>391</v>
      </c>
      <c r="H64" s="155" t="s">
        <v>1088</v>
      </c>
      <c r="I64" s="155" t="s">
        <v>1092</v>
      </c>
      <c r="J64" s="155" t="s">
        <v>408</v>
      </c>
      <c r="K64" s="155" t="s">
        <v>32</v>
      </c>
      <c r="L64" s="155" t="s">
        <v>568</v>
      </c>
      <c r="M64" s="155" t="s">
        <v>1129</v>
      </c>
      <c r="N64" s="155" t="s">
        <v>1088</v>
      </c>
      <c r="O64" s="155" t="s">
        <v>1092</v>
      </c>
    </row>
    <row r="65" spans="5:15" ht="39" thickBot="1" x14ac:dyDescent="0.3">
      <c r="E65" s="173" t="s">
        <v>506</v>
      </c>
      <c r="F65" s="156" t="s">
        <v>28</v>
      </c>
      <c r="G65" s="165">
        <v>1.06E-2</v>
      </c>
      <c r="H65" s="165">
        <f>8/1000</f>
        <v>8.0000000000000002E-3</v>
      </c>
      <c r="I65" s="165">
        <v>1.02E-4</v>
      </c>
      <c r="J65" s="165" t="s">
        <v>508</v>
      </c>
      <c r="K65" s="165" t="s">
        <v>55</v>
      </c>
      <c r="L65" s="165" t="s">
        <v>38</v>
      </c>
      <c r="M65" s="165" t="s">
        <v>1076</v>
      </c>
      <c r="N65" s="165" t="s">
        <v>1115</v>
      </c>
      <c r="O65" s="165" t="s">
        <v>1116</v>
      </c>
    </row>
    <row r="66" spans="5:15" ht="26.25" thickBot="1" x14ac:dyDescent="0.3">
      <c r="E66" s="173" t="s">
        <v>270</v>
      </c>
      <c r="F66" s="156" t="s">
        <v>24</v>
      </c>
      <c r="G66" s="156">
        <v>7.3000000000000001E-3</v>
      </c>
      <c r="H66" s="156">
        <f>80/1000</f>
        <v>0.08</v>
      </c>
      <c r="I66" s="156">
        <v>1.25E-4</v>
      </c>
      <c r="J66" s="156" t="s">
        <v>509</v>
      </c>
      <c r="K66" s="156" t="s">
        <v>507</v>
      </c>
      <c r="L66" s="156" t="s">
        <v>1020</v>
      </c>
      <c r="M66" s="156" t="s">
        <v>1076</v>
      </c>
      <c r="N66" s="156" t="s">
        <v>1115</v>
      </c>
      <c r="O66" s="156" t="s">
        <v>1116</v>
      </c>
    </row>
    <row r="67" spans="5:15" x14ac:dyDescent="0.25">
      <c r="E67" s="166" t="s">
        <v>510</v>
      </c>
    </row>
    <row r="72" spans="5:15" ht="15.75" thickBot="1" x14ac:dyDescent="0.3">
      <c r="E72" t="s">
        <v>1058</v>
      </c>
    </row>
    <row r="73" spans="5:15" ht="15.75" thickBot="1" x14ac:dyDescent="0.3">
      <c r="E73" s="155" t="s">
        <v>511</v>
      </c>
      <c r="F73" s="155" t="s">
        <v>31</v>
      </c>
      <c r="G73" s="155" t="s">
        <v>407</v>
      </c>
      <c r="H73" s="176" t="s">
        <v>408</v>
      </c>
      <c r="I73" s="155" t="s">
        <v>571</v>
      </c>
      <c r="J73" s="155" t="s">
        <v>1021</v>
      </c>
    </row>
    <row r="74" spans="5:15" ht="26.25" thickBot="1" x14ac:dyDescent="0.3">
      <c r="E74" s="174" t="s">
        <v>310</v>
      </c>
      <c r="F74" s="156" t="s">
        <v>30</v>
      </c>
      <c r="G74" s="156">
        <v>33.6</v>
      </c>
      <c r="H74" s="177"/>
      <c r="I74" s="156" t="s">
        <v>1060</v>
      </c>
      <c r="J74" s="156"/>
    </row>
    <row r="75" spans="5:15" ht="15.75" thickBot="1" x14ac:dyDescent="0.3">
      <c r="E75" s="174" t="s">
        <v>312</v>
      </c>
      <c r="F75" s="156" t="s">
        <v>29</v>
      </c>
      <c r="G75" s="156">
        <v>100</v>
      </c>
      <c r="H75" s="177" t="s">
        <v>514</v>
      </c>
      <c r="I75" s="156"/>
      <c r="J75" s="156" t="s">
        <v>1076</v>
      </c>
    </row>
    <row r="76" spans="5:15" ht="15.75" thickBot="1" x14ac:dyDescent="0.3">
      <c r="E76" s="174" t="s">
        <v>512</v>
      </c>
      <c r="F76" s="156" t="s">
        <v>22</v>
      </c>
      <c r="G76" s="156">
        <v>100</v>
      </c>
      <c r="H76" s="177" t="s">
        <v>515</v>
      </c>
      <c r="I76" s="156"/>
      <c r="J76" s="156" t="s">
        <v>1076</v>
      </c>
    </row>
    <row r="77" spans="5:15" ht="26.25" thickBot="1" x14ac:dyDescent="0.3">
      <c r="E77" s="174" t="s">
        <v>201</v>
      </c>
      <c r="F77" s="156" t="s">
        <v>23</v>
      </c>
      <c r="G77" s="156">
        <v>95.4</v>
      </c>
      <c r="H77" s="177" t="s">
        <v>514</v>
      </c>
      <c r="I77" s="156" t="s">
        <v>570</v>
      </c>
      <c r="J77" s="156" t="s">
        <v>1076</v>
      </c>
    </row>
    <row r="78" spans="5:15" ht="15.75" thickBot="1" x14ac:dyDescent="0.3">
      <c r="E78" s="174" t="s">
        <v>200</v>
      </c>
      <c r="F78" s="156" t="s">
        <v>26</v>
      </c>
      <c r="G78" s="156">
        <v>52.6</v>
      </c>
      <c r="H78" s="177" t="s">
        <v>516</v>
      </c>
      <c r="I78" s="156"/>
      <c r="J78" s="156" t="s">
        <v>1076</v>
      </c>
    </row>
    <row r="79" spans="5:15" ht="15.75" thickBot="1" x14ac:dyDescent="0.3">
      <c r="E79" s="174" t="s">
        <v>199</v>
      </c>
      <c r="F79" s="156" t="s">
        <v>27</v>
      </c>
      <c r="G79" s="156">
        <v>82.5</v>
      </c>
      <c r="H79" s="177" t="s">
        <v>517</v>
      </c>
      <c r="I79" s="156"/>
      <c r="J79" s="156" t="s">
        <v>1076</v>
      </c>
    </row>
    <row r="80" spans="5:15" ht="15.75" thickBot="1" x14ac:dyDescent="0.3">
      <c r="E80" s="174" t="s">
        <v>315</v>
      </c>
      <c r="F80" s="156" t="s">
        <v>25</v>
      </c>
      <c r="G80" s="156">
        <v>82.5</v>
      </c>
      <c r="H80" s="177" t="s">
        <v>517</v>
      </c>
      <c r="I80" s="156"/>
      <c r="J80" s="156" t="s">
        <v>1076</v>
      </c>
    </row>
    <row r="81" spans="4:12" ht="15.75" thickBot="1" x14ac:dyDescent="0.3">
      <c r="E81" s="174" t="s">
        <v>85</v>
      </c>
      <c r="F81" s="156" t="s">
        <v>29</v>
      </c>
      <c r="G81" s="156">
        <v>95.4</v>
      </c>
      <c r="H81" s="177" t="s">
        <v>514</v>
      </c>
      <c r="I81" s="156"/>
      <c r="J81" s="156" t="s">
        <v>1076</v>
      </c>
    </row>
    <row r="82" spans="4:12" ht="15.75" thickBot="1" x14ac:dyDescent="0.3">
      <c r="E82" s="174" t="s">
        <v>513</v>
      </c>
      <c r="F82" s="156" t="s">
        <v>22</v>
      </c>
      <c r="G82" s="156">
        <v>99.9</v>
      </c>
      <c r="H82" s="177" t="s">
        <v>515</v>
      </c>
      <c r="I82" s="156"/>
      <c r="J82" s="156" t="s">
        <v>1076</v>
      </c>
    </row>
    <row r="83" spans="4:12" x14ac:dyDescent="0.25">
      <c r="E83" s="166" t="s">
        <v>518</v>
      </c>
    </row>
    <row r="87" spans="4:12" x14ac:dyDescent="0.25">
      <c r="D87" s="163" t="s">
        <v>8</v>
      </c>
      <c r="E87" s="162"/>
    </row>
    <row r="88" spans="4:12" ht="15.75" thickBot="1" x14ac:dyDescent="0.3"/>
    <row r="89" spans="4:12" ht="15.75" thickBot="1" x14ac:dyDescent="0.3">
      <c r="E89" s="155" t="s">
        <v>511</v>
      </c>
      <c r="F89" s="155" t="s">
        <v>31</v>
      </c>
      <c r="G89" s="155" t="s">
        <v>407</v>
      </c>
      <c r="H89" s="176" t="s">
        <v>408</v>
      </c>
      <c r="I89" s="176" t="s">
        <v>571</v>
      </c>
      <c r="J89" s="176" t="s">
        <v>568</v>
      </c>
    </row>
    <row r="90" spans="4:12" ht="51.75" thickBot="1" x14ac:dyDescent="0.3">
      <c r="E90" s="174" t="s">
        <v>1004</v>
      </c>
      <c r="F90" s="174" t="s">
        <v>1002</v>
      </c>
      <c r="G90" s="156">
        <f>1/1000</f>
        <v>1E-3</v>
      </c>
      <c r="H90" s="156"/>
      <c r="I90" s="156" t="s">
        <v>1003</v>
      </c>
      <c r="J90" s="156" t="s">
        <v>1059</v>
      </c>
      <c r="L90" s="365"/>
    </row>
    <row r="91" spans="4:12" ht="15.75" thickBot="1" x14ac:dyDescent="0.3">
      <c r="E91" s="174"/>
      <c r="F91" s="156"/>
      <c r="G91" s="156"/>
      <c r="H91" s="156"/>
      <c r="I91" s="156"/>
      <c r="J91" s="156"/>
    </row>
    <row r="92" spans="4:12" ht="15.75" thickBot="1" x14ac:dyDescent="0.3">
      <c r="E92" s="174"/>
      <c r="F92" s="156"/>
      <c r="G92" s="156"/>
      <c r="H92" s="156"/>
      <c r="I92" s="156"/>
      <c r="J92" s="156"/>
    </row>
    <row r="96" spans="4:12" x14ac:dyDescent="0.25">
      <c r="D96" s="163" t="s">
        <v>1061</v>
      </c>
      <c r="E96" s="162"/>
    </row>
    <row r="97" spans="5:12" x14ac:dyDescent="0.25">
      <c r="K97" s="356"/>
      <c r="L97" s="357"/>
    </row>
    <row r="98" spans="5:12" x14ac:dyDescent="0.25">
      <c r="K98" s="187"/>
    </row>
    <row r="99" spans="5:12" x14ac:dyDescent="0.25">
      <c r="E99" s="18" t="s">
        <v>1070</v>
      </c>
      <c r="K99" s="187"/>
    </row>
    <row r="100" spans="5:12" x14ac:dyDescent="0.25">
      <c r="E100" s="179" t="s">
        <v>1064</v>
      </c>
      <c r="F100" s="179" t="s">
        <v>1062</v>
      </c>
    </row>
    <row r="101" spans="5:12" x14ac:dyDescent="0.25">
      <c r="E101" s="179" t="s">
        <v>1065</v>
      </c>
      <c r="F101" s="179" t="s">
        <v>1063</v>
      </c>
    </row>
    <row r="105" spans="5:12" x14ac:dyDescent="0.25">
      <c r="E105" s="183" t="s">
        <v>405</v>
      </c>
      <c r="F105" s="183" t="s">
        <v>31</v>
      </c>
      <c r="G105" s="183" t="s">
        <v>1073</v>
      </c>
      <c r="H105" s="183" t="s">
        <v>1074</v>
      </c>
      <c r="I105" s="183" t="s">
        <v>1066</v>
      </c>
      <c r="J105" s="183" t="s">
        <v>571</v>
      </c>
    </row>
    <row r="106" spans="5:12" x14ac:dyDescent="0.25">
      <c r="E106" s="179" t="s">
        <v>1067</v>
      </c>
      <c r="F106" s="179" t="s">
        <v>1069</v>
      </c>
      <c r="G106" s="179">
        <v>0.37035495445994021</v>
      </c>
      <c r="H106" s="179">
        <v>0.46185821152767642</v>
      </c>
      <c r="I106" s="179" t="s">
        <v>1063</v>
      </c>
      <c r="J106" s="179" t="s">
        <v>1072</v>
      </c>
    </row>
    <row r="108" spans="5:12" x14ac:dyDescent="0.25">
      <c r="E108" s="183" t="s">
        <v>405</v>
      </c>
      <c r="F108" s="183" t="s">
        <v>31</v>
      </c>
      <c r="G108" s="183" t="s">
        <v>407</v>
      </c>
      <c r="H108" s="183"/>
      <c r="I108" s="183" t="s">
        <v>1066</v>
      </c>
      <c r="J108" s="183" t="s">
        <v>571</v>
      </c>
    </row>
    <row r="109" spans="5:12" x14ac:dyDescent="0.25">
      <c r="E109" s="179" t="s">
        <v>1068</v>
      </c>
      <c r="F109" s="179" t="s">
        <v>853</v>
      </c>
      <c r="G109" s="179">
        <v>0.45</v>
      </c>
      <c r="H109" s="179"/>
      <c r="I109" s="179" t="s">
        <v>1063</v>
      </c>
      <c r="J109" s="179" t="s">
        <v>1071</v>
      </c>
    </row>
  </sheetData>
  <phoneticPr fontId="2"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572234-3707-4240-8E4C-217437F213B8}">
  <sheetPr>
    <tabColor theme="3" tint="0.89999084444715716"/>
  </sheetPr>
  <dimension ref="A1:BB144"/>
  <sheetViews>
    <sheetView tabSelected="1" zoomScaleNormal="100" workbookViewId="0">
      <selection activeCell="I7" sqref="I7"/>
    </sheetView>
  </sheetViews>
  <sheetFormatPr defaultRowHeight="15" x14ac:dyDescent="0.25"/>
  <cols>
    <col min="1" max="1" width="27.140625" bestFit="1" customWidth="1"/>
    <col min="3" max="3" width="15.42578125" style="10" bestFit="1" customWidth="1"/>
    <col min="5" max="5" width="30.140625" customWidth="1"/>
    <col min="6" max="6" width="23.140625" customWidth="1"/>
    <col min="7" max="7" width="24.5703125" customWidth="1"/>
    <col min="8" max="8" width="32.140625" bestFit="1" customWidth="1"/>
    <col min="9" max="9" width="18.140625" bestFit="1" customWidth="1"/>
    <col min="10" max="10" width="100.5703125" bestFit="1" customWidth="1"/>
    <col min="11" max="11" width="13.140625" customWidth="1"/>
    <col min="12" max="12" width="18.5703125" bestFit="1" customWidth="1"/>
    <col min="13" max="14" width="19.140625" bestFit="1" customWidth="1"/>
    <col min="15" max="15" width="18.42578125" bestFit="1" customWidth="1"/>
    <col min="16" max="16" width="61.140625" bestFit="1" customWidth="1"/>
    <col min="17" max="17" width="8.85546875" customWidth="1"/>
    <col min="18" max="18" width="8.85546875" style="10"/>
    <col min="26" max="26" width="13.85546875" bestFit="1" customWidth="1"/>
    <col min="27" max="27" width="17.140625" bestFit="1" customWidth="1"/>
    <col min="28" max="28" width="16.85546875" bestFit="1" customWidth="1"/>
    <col min="30" max="30" width="16.85546875" bestFit="1" customWidth="1"/>
    <col min="46" max="46" width="13.140625" bestFit="1" customWidth="1"/>
  </cols>
  <sheetData>
    <row r="1" spans="1:54" ht="24" x14ac:dyDescent="0.4">
      <c r="A1" s="394" t="s">
        <v>1102</v>
      </c>
      <c r="C1" s="172"/>
      <c r="S1" t="s">
        <v>1103</v>
      </c>
      <c r="AV1" s="18" t="s">
        <v>573</v>
      </c>
      <c r="BB1" s="18" t="s">
        <v>583</v>
      </c>
    </row>
    <row r="2" spans="1:54" ht="15.75" thickBot="1" x14ac:dyDescent="0.3">
      <c r="D2" s="410" t="s">
        <v>1093</v>
      </c>
      <c r="E2" s="410"/>
      <c r="S2" s="403" t="s">
        <v>1095</v>
      </c>
      <c r="AC2" s="18" t="s">
        <v>881</v>
      </c>
      <c r="AM2" t="s">
        <v>1098</v>
      </c>
      <c r="AV2" s="7" t="s">
        <v>36</v>
      </c>
      <c r="AY2" s="162" t="s">
        <v>36</v>
      </c>
      <c r="BA2">
        <v>2</v>
      </c>
      <c r="BB2" t="s">
        <v>580</v>
      </c>
    </row>
    <row r="3" spans="1:54" ht="17.25" thickBot="1" x14ac:dyDescent="0.3">
      <c r="S3" s="404" t="s">
        <v>131</v>
      </c>
      <c r="T3" s="404" t="s">
        <v>132</v>
      </c>
      <c r="U3" s="404" t="s">
        <v>133</v>
      </c>
      <c r="V3" s="404" t="s">
        <v>134</v>
      </c>
      <c r="W3" s="404" t="s">
        <v>135</v>
      </c>
      <c r="X3" s="404" t="s">
        <v>1096</v>
      </c>
      <c r="Y3" s="328" t="s">
        <v>854</v>
      </c>
      <c r="Z3" s="183" t="s">
        <v>177</v>
      </c>
      <c r="AA3" s="179" t="s">
        <v>1097</v>
      </c>
      <c r="AB3" s="13"/>
      <c r="AC3" s="405" t="s">
        <v>31</v>
      </c>
      <c r="AD3" s="332" t="s">
        <v>407</v>
      </c>
      <c r="AE3" s="332" t="s">
        <v>32</v>
      </c>
      <c r="AF3" s="333"/>
      <c r="AM3" s="8" t="s">
        <v>864</v>
      </c>
      <c r="AN3" s="2" t="s">
        <v>863</v>
      </c>
      <c r="AO3" s="2"/>
      <c r="AP3" s="2"/>
      <c r="AQ3" s="2" t="s">
        <v>878</v>
      </c>
      <c r="AR3" s="2"/>
      <c r="AS3" s="9"/>
      <c r="AV3" s="7" t="s">
        <v>37</v>
      </c>
      <c r="AY3" t="s">
        <v>37</v>
      </c>
      <c r="BA3">
        <v>3</v>
      </c>
      <c r="BB3" t="s">
        <v>581</v>
      </c>
    </row>
    <row r="4" spans="1:54" ht="15.75" thickBot="1" x14ac:dyDescent="0.3">
      <c r="C4" s="153"/>
      <c r="E4" t="s">
        <v>1106</v>
      </c>
      <c r="K4" s="187" t="s">
        <v>1089</v>
      </c>
      <c r="S4" s="4" t="s">
        <v>136</v>
      </c>
      <c r="T4" s="4" t="s">
        <v>137</v>
      </c>
      <c r="U4" s="4"/>
      <c r="V4" s="4"/>
      <c r="W4" s="4">
        <v>5064</v>
      </c>
      <c r="X4" s="4" t="s">
        <v>138</v>
      </c>
      <c r="Y4" s="329" t="s">
        <v>139</v>
      </c>
      <c r="Z4" s="4" t="s">
        <v>855</v>
      </c>
      <c r="AA4" s="179"/>
      <c r="AB4" s="13"/>
      <c r="AC4" s="406"/>
      <c r="AD4" s="407"/>
      <c r="AE4" s="262"/>
      <c r="AF4" s="263"/>
      <c r="AM4" s="10" t="s">
        <v>351</v>
      </c>
      <c r="AN4">
        <v>1</v>
      </c>
      <c r="AO4" t="s">
        <v>865</v>
      </c>
      <c r="AS4" s="11"/>
      <c r="AV4" s="7" t="s">
        <v>36</v>
      </c>
      <c r="AY4" t="s">
        <v>38</v>
      </c>
      <c r="BA4">
        <v>4</v>
      </c>
      <c r="BB4" t="s">
        <v>582</v>
      </c>
    </row>
    <row r="5" spans="1:54" ht="15.75" thickBot="1" x14ac:dyDescent="0.3">
      <c r="E5" s="154" t="s">
        <v>521</v>
      </c>
      <c r="F5" s="155" t="s">
        <v>522</v>
      </c>
      <c r="G5" s="155" t="s">
        <v>523</v>
      </c>
      <c r="H5" s="154" t="s">
        <v>524</v>
      </c>
      <c r="I5" s="155" t="s">
        <v>1104</v>
      </c>
      <c r="J5" s="155" t="s">
        <v>1088</v>
      </c>
      <c r="K5" s="176" t="s">
        <v>525</v>
      </c>
      <c r="L5" s="155" t="s">
        <v>32</v>
      </c>
      <c r="M5" s="158" t="s">
        <v>1105</v>
      </c>
      <c r="N5" s="180" t="s">
        <v>1088</v>
      </c>
      <c r="O5" s="158" t="s">
        <v>1092</v>
      </c>
      <c r="P5" s="155" t="s">
        <v>759</v>
      </c>
      <c r="S5" s="4" t="s">
        <v>136</v>
      </c>
      <c r="T5" s="4" t="s">
        <v>140</v>
      </c>
      <c r="U5" s="4"/>
      <c r="V5" s="4"/>
      <c r="W5" s="4">
        <v>2668</v>
      </c>
      <c r="X5" s="4" t="s">
        <v>138</v>
      </c>
      <c r="Y5" s="329" t="s">
        <v>141</v>
      </c>
      <c r="Z5" s="4"/>
      <c r="AA5" s="179"/>
      <c r="AB5" s="13"/>
      <c r="AC5" s="334"/>
      <c r="AD5" s="408"/>
      <c r="AF5" s="203"/>
      <c r="AM5" s="10" t="s">
        <v>861</v>
      </c>
      <c r="AN5">
        <v>2.9</v>
      </c>
      <c r="AO5" t="s">
        <v>866</v>
      </c>
      <c r="AS5" s="11"/>
      <c r="AV5" s="7" t="s">
        <v>35</v>
      </c>
      <c r="AY5" s="162" t="s">
        <v>404</v>
      </c>
      <c r="BA5">
        <v>5</v>
      </c>
      <c r="BB5" t="s">
        <v>584</v>
      </c>
    </row>
    <row r="6" spans="1:54" ht="26.25" thickBot="1" x14ac:dyDescent="0.3">
      <c r="E6" s="164" t="s">
        <v>85</v>
      </c>
      <c r="F6" s="174" t="s">
        <v>270</v>
      </c>
      <c r="G6" s="156" t="s">
        <v>47</v>
      </c>
      <c r="H6" s="379"/>
      <c r="I6" s="156">
        <v>0</v>
      </c>
      <c r="J6" s="156">
        <v>10.8</v>
      </c>
      <c r="K6" s="177" t="s">
        <v>48</v>
      </c>
      <c r="L6" s="156" t="s">
        <v>11</v>
      </c>
      <c r="M6" s="156" t="s">
        <v>1075</v>
      </c>
      <c r="N6" s="177" t="s">
        <v>1075</v>
      </c>
      <c r="O6" s="156" t="s">
        <v>1076</v>
      </c>
      <c r="P6" s="156"/>
      <c r="S6" s="10"/>
      <c r="Y6" s="329" t="s">
        <v>142</v>
      </c>
      <c r="Z6" s="4"/>
      <c r="AC6" s="334"/>
      <c r="AD6" s="408"/>
      <c r="AF6" s="203"/>
      <c r="AM6" s="10"/>
      <c r="AN6">
        <v>426</v>
      </c>
      <c r="AO6" t="s">
        <v>867</v>
      </c>
      <c r="AQ6" s="336">
        <f>AN6/1000</f>
        <v>0.42599999999999999</v>
      </c>
      <c r="AS6" s="11">
        <f>11.75*AQ6</f>
        <v>5.0054999999999996</v>
      </c>
      <c r="AU6" s="5"/>
      <c r="AV6" s="185" t="s">
        <v>38</v>
      </c>
      <c r="AW6" s="5"/>
      <c r="AX6" s="5"/>
      <c r="AY6" t="s">
        <v>575</v>
      </c>
      <c r="BA6" s="162">
        <v>6</v>
      </c>
      <c r="BB6" s="162" t="s">
        <v>585</v>
      </c>
    </row>
    <row r="7" spans="1:54" ht="26.25" thickBot="1" x14ac:dyDescent="0.3">
      <c r="E7" s="164" t="s">
        <v>41</v>
      </c>
      <c r="F7" s="174" t="s">
        <v>430</v>
      </c>
      <c r="G7" s="156" t="s">
        <v>49</v>
      </c>
      <c r="H7" s="379">
        <f>AR16*100</f>
        <v>79.279279279279294</v>
      </c>
      <c r="I7" s="156">
        <v>73</v>
      </c>
      <c r="J7" s="156">
        <v>49.8</v>
      </c>
      <c r="K7" s="177" t="s">
        <v>50</v>
      </c>
      <c r="L7" s="156" t="s">
        <v>11</v>
      </c>
      <c r="M7" s="156" t="s">
        <v>1075</v>
      </c>
      <c r="N7" s="177" t="s">
        <v>1075</v>
      </c>
      <c r="O7" s="156" t="s">
        <v>1076</v>
      </c>
      <c r="P7" s="156"/>
      <c r="S7" s="4" t="s">
        <v>136</v>
      </c>
      <c r="T7" s="4" t="s">
        <v>143</v>
      </c>
      <c r="U7" s="4"/>
      <c r="V7" s="4"/>
      <c r="W7" s="4">
        <v>95</v>
      </c>
      <c r="X7" s="4" t="s">
        <v>144</v>
      </c>
      <c r="Y7" s="329" t="s">
        <v>145</v>
      </c>
      <c r="Z7" s="4" t="s">
        <v>178</v>
      </c>
      <c r="AA7" s="179">
        <f>(W7*750)/W4</f>
        <v>14.069905213270141</v>
      </c>
      <c r="AB7" s="13" t="s">
        <v>879</v>
      </c>
      <c r="AC7" s="334" t="s">
        <v>860</v>
      </c>
      <c r="AD7" s="408">
        <f t="shared" ref="AD7:AD12" si="0">AA7/1000</f>
        <v>1.4069905213270142E-2</v>
      </c>
      <c r="AE7" t="s">
        <v>882</v>
      </c>
      <c r="AF7" s="203"/>
      <c r="AM7" s="10"/>
      <c r="AN7">
        <v>7234</v>
      </c>
      <c r="AO7" t="s">
        <v>868</v>
      </c>
      <c r="AS7" s="11"/>
      <c r="AU7" s="188" t="s">
        <v>37</v>
      </c>
      <c r="AV7" s="185" t="s">
        <v>36</v>
      </c>
      <c r="AY7" s="162" t="s">
        <v>576</v>
      </c>
      <c r="BA7">
        <v>7</v>
      </c>
      <c r="BB7" t="s">
        <v>586</v>
      </c>
    </row>
    <row r="8" spans="1:54" ht="26.25" thickBot="1" x14ac:dyDescent="0.3">
      <c r="E8" s="167"/>
      <c r="F8" s="174" t="s">
        <v>432</v>
      </c>
      <c r="G8" s="156" t="s">
        <v>526</v>
      </c>
      <c r="H8" s="379"/>
      <c r="I8" s="156">
        <f>100-I7</f>
        <v>27</v>
      </c>
      <c r="J8" s="156">
        <v>39.4</v>
      </c>
      <c r="K8" s="177">
        <f>I8</f>
        <v>27</v>
      </c>
      <c r="L8" s="156" t="s">
        <v>11</v>
      </c>
      <c r="M8" s="156" t="s">
        <v>1075</v>
      </c>
      <c r="N8" s="177"/>
      <c r="O8" s="156"/>
      <c r="P8" s="156"/>
      <c r="S8" s="4" t="s">
        <v>136</v>
      </c>
      <c r="T8" s="4" t="s">
        <v>146</v>
      </c>
      <c r="U8" s="4"/>
      <c r="V8" s="4"/>
      <c r="W8" s="4">
        <v>20809</v>
      </c>
      <c r="X8" s="4" t="s">
        <v>147</v>
      </c>
      <c r="Y8" s="329" t="s">
        <v>148</v>
      </c>
      <c r="Z8" s="4" t="s">
        <v>856</v>
      </c>
      <c r="AA8" s="179">
        <f>(W8)/W4</f>
        <v>4.1092022116903637</v>
      </c>
      <c r="AB8" s="13" t="s">
        <v>885</v>
      </c>
      <c r="AC8" s="334" t="s">
        <v>72</v>
      </c>
      <c r="AD8" s="408">
        <f t="shared" si="0"/>
        <v>4.1092022116903633E-3</v>
      </c>
      <c r="AE8" t="s">
        <v>883</v>
      </c>
      <c r="AF8" s="203" t="s">
        <v>880</v>
      </c>
      <c r="AM8" s="10"/>
      <c r="AS8" s="11"/>
      <c r="AV8" s="179" t="s">
        <v>35</v>
      </c>
      <c r="AY8" t="s">
        <v>577</v>
      </c>
      <c r="BA8">
        <v>8</v>
      </c>
      <c r="BB8" t="s">
        <v>587</v>
      </c>
    </row>
    <row r="9" spans="1:54" ht="15.75" thickBot="1" x14ac:dyDescent="0.3">
      <c r="E9" s="378" t="s">
        <v>512</v>
      </c>
      <c r="F9" s="174" t="s">
        <v>528</v>
      </c>
      <c r="G9" s="156" t="s">
        <v>42</v>
      </c>
      <c r="H9" s="379">
        <v>99</v>
      </c>
      <c r="I9" s="156"/>
      <c r="J9" s="156"/>
      <c r="K9" s="177" t="s">
        <v>40</v>
      </c>
      <c r="L9" s="156" t="s">
        <v>11</v>
      </c>
      <c r="M9" s="156" t="s">
        <v>1076</v>
      </c>
      <c r="N9" s="177"/>
      <c r="O9" s="156"/>
      <c r="P9" s="156"/>
      <c r="S9" s="4" t="s">
        <v>136</v>
      </c>
      <c r="T9" s="4" t="s">
        <v>149</v>
      </c>
      <c r="U9" s="4"/>
      <c r="V9" s="4"/>
      <c r="W9" s="4">
        <v>1840</v>
      </c>
      <c r="X9" s="4" t="s">
        <v>87</v>
      </c>
      <c r="Y9" s="329" t="s">
        <v>150</v>
      </c>
      <c r="Z9" s="4" t="s">
        <v>179</v>
      </c>
      <c r="AA9" s="179">
        <f>(W9*1000)/W4</f>
        <v>363.34913112164298</v>
      </c>
      <c r="AB9" s="13" t="s">
        <v>859</v>
      </c>
      <c r="AC9" s="334" t="s">
        <v>70</v>
      </c>
      <c r="AD9" s="408">
        <f t="shared" si="0"/>
        <v>0.36334913112164297</v>
      </c>
      <c r="AE9" t="s">
        <v>884</v>
      </c>
      <c r="AF9" s="203"/>
      <c r="AM9" s="10" t="s">
        <v>869</v>
      </c>
      <c r="AS9" s="11"/>
      <c r="AV9" s="179" t="s">
        <v>404</v>
      </c>
      <c r="AY9" t="s">
        <v>578</v>
      </c>
    </row>
    <row r="10" spans="1:54" ht="15.75" thickBot="1" x14ac:dyDescent="0.3">
      <c r="E10" s="379"/>
      <c r="F10" s="174" t="s">
        <v>529</v>
      </c>
      <c r="G10" s="156" t="s">
        <v>530</v>
      </c>
      <c r="H10" s="379">
        <v>1</v>
      </c>
      <c r="I10" s="156"/>
      <c r="J10" s="156"/>
      <c r="K10" s="177" t="s">
        <v>527</v>
      </c>
      <c r="L10" s="156" t="s">
        <v>11</v>
      </c>
      <c r="M10" s="156" t="s">
        <v>1076</v>
      </c>
      <c r="N10" s="177"/>
      <c r="O10" s="156"/>
      <c r="P10" s="156"/>
      <c r="S10" s="4" t="s">
        <v>136</v>
      </c>
      <c r="T10" s="4" t="s">
        <v>151</v>
      </c>
      <c r="U10" s="4"/>
      <c r="V10" s="4"/>
      <c r="W10" s="4">
        <v>212</v>
      </c>
      <c r="X10" s="4" t="s">
        <v>152</v>
      </c>
      <c r="Y10" s="329" t="s">
        <v>153</v>
      </c>
      <c r="Z10" s="327" t="s">
        <v>180</v>
      </c>
      <c r="AA10" s="179">
        <f>(W10*1000)/W4</f>
        <v>41.864139020537124</v>
      </c>
      <c r="AB10" s="13" t="s">
        <v>188</v>
      </c>
      <c r="AC10" s="334" t="s">
        <v>58</v>
      </c>
      <c r="AD10" s="408">
        <f t="shared" si="0"/>
        <v>4.1864139020537122E-2</v>
      </c>
      <c r="AE10" t="s">
        <v>882</v>
      </c>
      <c r="AF10" s="203"/>
      <c r="AM10" s="10" t="s">
        <v>870</v>
      </c>
      <c r="AS10" s="11"/>
      <c r="AV10" s="179" t="s">
        <v>35</v>
      </c>
    </row>
    <row r="11" spans="1:54" ht="15.75" thickBot="1" x14ac:dyDescent="0.3">
      <c r="E11" s="378" t="s">
        <v>531</v>
      </c>
      <c r="F11" s="174" t="s">
        <v>528</v>
      </c>
      <c r="G11" s="156" t="s">
        <v>42</v>
      </c>
      <c r="H11" s="379">
        <v>99</v>
      </c>
      <c r="I11" s="156"/>
      <c r="J11" s="156"/>
      <c r="K11" s="177" t="s">
        <v>40</v>
      </c>
      <c r="L11" s="156" t="s">
        <v>11</v>
      </c>
      <c r="M11" s="156" t="s">
        <v>1076</v>
      </c>
      <c r="N11" s="177"/>
      <c r="O11" s="156"/>
      <c r="P11" s="156"/>
      <c r="S11" s="4" t="s">
        <v>136</v>
      </c>
      <c r="T11" s="4" t="s">
        <v>154</v>
      </c>
      <c r="U11" s="4"/>
      <c r="V11" s="4"/>
      <c r="W11" s="4">
        <v>8.73</v>
      </c>
      <c r="X11" s="4" t="s">
        <v>152</v>
      </c>
      <c r="Y11" s="329" t="s">
        <v>155</v>
      </c>
      <c r="Z11" s="327" t="s">
        <v>181</v>
      </c>
      <c r="AA11" s="179">
        <f>(W11*1000)/W4</f>
        <v>1.7239336492890995</v>
      </c>
      <c r="AB11" s="13" t="s">
        <v>857</v>
      </c>
      <c r="AC11" s="334" t="s">
        <v>56</v>
      </c>
      <c r="AD11" s="408">
        <f t="shared" si="0"/>
        <v>1.7239336492890995E-3</v>
      </c>
      <c r="AE11" t="s">
        <v>882</v>
      </c>
      <c r="AF11" s="203"/>
      <c r="AM11" s="10" t="s">
        <v>871</v>
      </c>
      <c r="AN11">
        <v>11.1</v>
      </c>
      <c r="AO11" t="s">
        <v>862</v>
      </c>
      <c r="AP11">
        <f>AN11/1000</f>
        <v>1.11E-2</v>
      </c>
      <c r="AQ11" t="s">
        <v>998</v>
      </c>
      <c r="AR11" t="s">
        <v>1036</v>
      </c>
      <c r="AS11" s="11"/>
      <c r="AV11" t="s">
        <v>575</v>
      </c>
    </row>
    <row r="12" spans="1:54" ht="15.75" thickBot="1" x14ac:dyDescent="0.3">
      <c r="E12" s="379"/>
      <c r="F12" s="174" t="s">
        <v>529</v>
      </c>
      <c r="G12" s="156" t="s">
        <v>530</v>
      </c>
      <c r="H12" s="379">
        <v>1</v>
      </c>
      <c r="I12" s="156"/>
      <c r="J12" s="156"/>
      <c r="K12" s="177" t="s">
        <v>527</v>
      </c>
      <c r="L12" s="156" t="s">
        <v>11</v>
      </c>
      <c r="M12" s="156" t="s">
        <v>1076</v>
      </c>
      <c r="N12" s="177"/>
      <c r="O12" s="156"/>
      <c r="P12" s="156"/>
      <c r="S12" s="4" t="s">
        <v>136</v>
      </c>
      <c r="T12" s="4" t="s">
        <v>156</v>
      </c>
      <c r="U12" s="4"/>
      <c r="V12" s="4"/>
      <c r="W12" s="4">
        <v>3.05</v>
      </c>
      <c r="X12" s="4" t="s">
        <v>152</v>
      </c>
      <c r="Y12" s="329" t="s">
        <v>157</v>
      </c>
      <c r="Z12" s="327" t="s">
        <v>182</v>
      </c>
      <c r="AA12" s="179">
        <f>(W12*1000)/W4</f>
        <v>0.60229067930489733</v>
      </c>
      <c r="AB12" s="13" t="s">
        <v>858</v>
      </c>
      <c r="AC12" s="334" t="s">
        <v>54</v>
      </c>
      <c r="AD12" s="408">
        <f t="shared" si="0"/>
        <v>6.0229067930489728E-4</v>
      </c>
      <c r="AE12" t="s">
        <v>882</v>
      </c>
      <c r="AF12" s="203"/>
      <c r="AH12">
        <f>AD7*42</f>
        <v>0.59093601895734593</v>
      </c>
      <c r="AM12" s="358" t="s">
        <v>872</v>
      </c>
      <c r="AN12">
        <v>0.69</v>
      </c>
      <c r="AO12" t="s">
        <v>862</v>
      </c>
      <c r="AP12">
        <f>AN12</f>
        <v>0.69</v>
      </c>
      <c r="AQ12" t="s">
        <v>1037</v>
      </c>
      <c r="AS12" s="11"/>
      <c r="AV12" t="s">
        <v>576</v>
      </c>
    </row>
    <row r="13" spans="1:54" ht="15.75" thickBot="1" x14ac:dyDescent="0.3">
      <c r="E13" s="378" t="s">
        <v>520</v>
      </c>
      <c r="F13" s="174" t="s">
        <v>532</v>
      </c>
      <c r="G13" s="156" t="s">
        <v>53</v>
      </c>
      <c r="H13" s="379">
        <v>1.1399999999999999</v>
      </c>
      <c r="I13" s="156"/>
      <c r="J13" s="156"/>
      <c r="K13" s="177" t="s">
        <v>533</v>
      </c>
      <c r="L13" s="156" t="s">
        <v>11</v>
      </c>
      <c r="M13" s="156" t="s">
        <v>1076</v>
      </c>
      <c r="N13" s="177"/>
      <c r="O13" s="156"/>
      <c r="P13" s="156" t="s">
        <v>574</v>
      </c>
      <c r="S13" s="10"/>
      <c r="Y13" s="329" t="s">
        <v>158</v>
      </c>
      <c r="Z13" s="4"/>
      <c r="AC13" s="334"/>
      <c r="AD13" s="408"/>
      <c r="AF13" s="203"/>
      <c r="AH13">
        <f>AD8*38</f>
        <v>0.15614968404423379</v>
      </c>
      <c r="AI13" t="s">
        <v>598</v>
      </c>
      <c r="AM13" s="358" t="s">
        <v>58</v>
      </c>
      <c r="AN13">
        <v>37</v>
      </c>
      <c r="AO13" t="s">
        <v>874</v>
      </c>
      <c r="AP13">
        <f t="shared" ref="AP13:AP15" si="1">AN13/1000</f>
        <v>3.6999999999999998E-2</v>
      </c>
      <c r="AQ13" t="s">
        <v>997</v>
      </c>
      <c r="AS13" s="11"/>
      <c r="AV13" t="s">
        <v>577</v>
      </c>
    </row>
    <row r="14" spans="1:54" ht="15.75" thickBot="1" x14ac:dyDescent="0.3">
      <c r="E14" s="164"/>
      <c r="F14" s="174" t="s">
        <v>529</v>
      </c>
      <c r="G14" s="156" t="s">
        <v>51</v>
      </c>
      <c r="H14" s="379">
        <v>10</v>
      </c>
      <c r="I14" s="156"/>
      <c r="J14" s="156"/>
      <c r="K14" s="177" t="s">
        <v>52</v>
      </c>
      <c r="L14" s="156" t="s">
        <v>11</v>
      </c>
      <c r="M14" s="156" t="s">
        <v>1076</v>
      </c>
      <c r="N14" s="177"/>
      <c r="O14" s="156"/>
      <c r="P14" s="156"/>
      <c r="S14" s="10"/>
      <c r="Y14" s="329" t="s">
        <v>159</v>
      </c>
      <c r="Z14" s="4" t="s">
        <v>183</v>
      </c>
      <c r="AC14" s="334"/>
      <c r="AD14" s="408"/>
      <c r="AF14" s="203"/>
      <c r="AH14">
        <f>AP11*1000</f>
        <v>11.1</v>
      </c>
      <c r="AM14" s="358" t="s">
        <v>873</v>
      </c>
      <c r="AN14">
        <v>6.4</v>
      </c>
      <c r="AO14" t="s">
        <v>874</v>
      </c>
      <c r="AP14">
        <f t="shared" si="1"/>
        <v>6.4000000000000003E-3</v>
      </c>
      <c r="AQ14" t="s">
        <v>997</v>
      </c>
      <c r="AS14" s="11"/>
      <c r="AV14" s="175" t="s">
        <v>578</v>
      </c>
    </row>
    <row r="15" spans="1:54" ht="15.75" thickBot="1" x14ac:dyDescent="0.3">
      <c r="E15" s="379"/>
      <c r="F15" s="174" t="s">
        <v>528</v>
      </c>
      <c r="G15" s="156" t="s">
        <v>534</v>
      </c>
      <c r="H15" s="379">
        <v>88.86</v>
      </c>
      <c r="I15" s="156"/>
      <c r="J15" s="156"/>
      <c r="K15" s="177" t="s">
        <v>527</v>
      </c>
      <c r="L15" s="156" t="s">
        <v>11</v>
      </c>
      <c r="M15" s="156" t="s">
        <v>1076</v>
      </c>
      <c r="N15" s="177"/>
      <c r="O15" s="156"/>
      <c r="P15" s="156"/>
      <c r="S15" s="4" t="s">
        <v>136</v>
      </c>
      <c r="T15" s="4" t="s">
        <v>160</v>
      </c>
      <c r="U15" s="4"/>
      <c r="V15" s="4"/>
      <c r="W15" s="4">
        <v>-838.43</v>
      </c>
      <c r="X15" s="4" t="s">
        <v>87</v>
      </c>
      <c r="Y15" s="329" t="s">
        <v>161</v>
      </c>
      <c r="Z15" s="4" t="s">
        <v>184</v>
      </c>
      <c r="AA15" s="179"/>
      <c r="AB15" s="13"/>
      <c r="AC15" s="334" t="s">
        <v>1032</v>
      </c>
      <c r="AD15" s="408">
        <f>(W15*1000)/W4</f>
        <v>-165.5667456556082</v>
      </c>
      <c r="AE15" t="s">
        <v>101</v>
      </c>
      <c r="AF15" s="203"/>
      <c r="AM15" s="358" t="s">
        <v>875</v>
      </c>
      <c r="AN15">
        <v>365</v>
      </c>
      <c r="AO15" t="s">
        <v>876</v>
      </c>
      <c r="AP15">
        <f t="shared" si="1"/>
        <v>0.36499999999999999</v>
      </c>
      <c r="AQ15" t="s">
        <v>999</v>
      </c>
      <c r="AS15" s="11"/>
    </row>
    <row r="16" spans="1:54" ht="15.75" thickBot="1" x14ac:dyDescent="0.3">
      <c r="E16" s="378" t="s">
        <v>326</v>
      </c>
      <c r="F16" s="174" t="s">
        <v>532</v>
      </c>
      <c r="G16" s="156" t="s">
        <v>45</v>
      </c>
      <c r="H16" s="379">
        <v>0.02</v>
      </c>
      <c r="I16" s="156"/>
      <c r="J16" s="156"/>
      <c r="K16" s="177" t="s">
        <v>46</v>
      </c>
      <c r="L16" s="156" t="s">
        <v>11</v>
      </c>
      <c r="M16" s="156" t="s">
        <v>1076</v>
      </c>
      <c r="N16" s="177"/>
      <c r="O16" s="156"/>
      <c r="P16" s="156"/>
      <c r="S16" s="4" t="s">
        <v>136</v>
      </c>
      <c r="T16" s="4" t="s">
        <v>162</v>
      </c>
      <c r="U16" s="4"/>
      <c r="V16" s="4"/>
      <c r="W16" s="4">
        <v>41818731</v>
      </c>
      <c r="X16" s="4" t="s">
        <v>163</v>
      </c>
      <c r="Y16" s="329" t="s">
        <v>164</v>
      </c>
      <c r="Z16" s="4"/>
      <c r="AA16" s="179"/>
      <c r="AB16" s="13"/>
      <c r="AC16" s="334"/>
      <c r="AD16" s="408"/>
      <c r="AF16" s="203"/>
      <c r="AM16" s="10" t="s">
        <v>877</v>
      </c>
      <c r="AN16">
        <v>8.8000000000000007</v>
      </c>
      <c r="AO16" t="s">
        <v>862</v>
      </c>
      <c r="AP16">
        <f>AN16</f>
        <v>8.8000000000000007</v>
      </c>
      <c r="AQ16" t="s">
        <v>1033</v>
      </c>
      <c r="AR16" s="218">
        <f>AP16/AN11</f>
        <v>0.79279279279279291</v>
      </c>
      <c r="AS16" s="11"/>
    </row>
    <row r="17" spans="3:45" ht="15.75" thickBot="1" x14ac:dyDescent="0.3">
      <c r="E17" s="164"/>
      <c r="F17" s="174" t="s">
        <v>529</v>
      </c>
      <c r="G17" s="156" t="s">
        <v>535</v>
      </c>
      <c r="H17" s="379">
        <v>4.38</v>
      </c>
      <c r="I17" s="156"/>
      <c r="J17" s="156"/>
      <c r="K17" s="177" t="s">
        <v>527</v>
      </c>
      <c r="L17" s="156" t="s">
        <v>11</v>
      </c>
      <c r="M17" s="156" t="s">
        <v>1076</v>
      </c>
      <c r="N17" s="177"/>
      <c r="O17" s="156"/>
      <c r="P17" s="156"/>
      <c r="S17" s="4" t="s">
        <v>136</v>
      </c>
      <c r="T17" s="4" t="s">
        <v>165</v>
      </c>
      <c r="U17" s="4"/>
      <c r="V17" s="4"/>
      <c r="W17" s="4">
        <v>63</v>
      </c>
      <c r="X17" s="4" t="s">
        <v>166</v>
      </c>
      <c r="Y17" s="329" t="s">
        <v>167</v>
      </c>
      <c r="Z17" s="4" t="s">
        <v>185</v>
      </c>
      <c r="AA17" s="179"/>
      <c r="AB17" s="13"/>
      <c r="AC17" s="334" t="s">
        <v>61</v>
      </c>
      <c r="AD17" s="408">
        <v>1.2E-5</v>
      </c>
      <c r="AE17" t="s">
        <v>589</v>
      </c>
      <c r="AF17" s="203"/>
      <c r="AM17" s="10"/>
      <c r="AS17" s="11"/>
    </row>
    <row r="18" spans="3:45" ht="15.75" thickBot="1" x14ac:dyDescent="0.3">
      <c r="E18" s="379"/>
      <c r="F18" s="174" t="s">
        <v>528</v>
      </c>
      <c r="G18" s="156" t="s">
        <v>43</v>
      </c>
      <c r="H18" s="379">
        <v>95.6</v>
      </c>
      <c r="I18" s="156"/>
      <c r="J18" s="156"/>
      <c r="K18" s="177" t="s">
        <v>44</v>
      </c>
      <c r="L18" s="156" t="s">
        <v>11</v>
      </c>
      <c r="M18" s="156" t="s">
        <v>1076</v>
      </c>
      <c r="N18" s="177"/>
      <c r="O18" s="156"/>
      <c r="P18" s="156"/>
      <c r="S18" s="4" t="s">
        <v>136</v>
      </c>
      <c r="T18" s="4" t="s">
        <v>168</v>
      </c>
      <c r="U18" s="4"/>
      <c r="V18" s="4"/>
      <c r="W18" s="4">
        <v>845</v>
      </c>
      <c r="X18" s="4" t="s">
        <v>166</v>
      </c>
      <c r="Y18" s="329" t="s">
        <v>169</v>
      </c>
      <c r="Z18" s="4" t="s">
        <v>185</v>
      </c>
      <c r="AA18" s="179"/>
      <c r="AB18" s="13"/>
      <c r="AC18" s="334" t="s">
        <v>68</v>
      </c>
      <c r="AD18" s="408">
        <v>1.7000000000000001E-4</v>
      </c>
      <c r="AE18" t="s">
        <v>589</v>
      </c>
      <c r="AF18" s="203"/>
      <c r="AM18" s="10"/>
      <c r="AS18" s="11"/>
    </row>
    <row r="19" spans="3:45" x14ac:dyDescent="0.25">
      <c r="E19" t="s">
        <v>536</v>
      </c>
      <c r="S19" s="4" t="s">
        <v>136</v>
      </c>
      <c r="T19" s="4" t="s">
        <v>170</v>
      </c>
      <c r="U19" s="4"/>
      <c r="V19" s="4"/>
      <c r="W19" s="4">
        <v>1915</v>
      </c>
      <c r="X19" s="4" t="s">
        <v>166</v>
      </c>
      <c r="Y19" s="329" t="s">
        <v>171</v>
      </c>
      <c r="Z19" s="4" t="s">
        <v>185</v>
      </c>
      <c r="AA19" s="179"/>
      <c r="AB19" s="13"/>
      <c r="AC19" s="334" t="s">
        <v>66</v>
      </c>
      <c r="AD19" s="408">
        <v>3.8000000000000002E-4</v>
      </c>
      <c r="AE19" t="s">
        <v>589</v>
      </c>
      <c r="AF19" s="203"/>
      <c r="AM19" s="16"/>
      <c r="AN19" s="1"/>
      <c r="AO19" s="1"/>
      <c r="AP19" s="1"/>
      <c r="AQ19" s="1"/>
      <c r="AR19" s="1"/>
      <c r="AS19" s="12"/>
    </row>
    <row r="20" spans="3:45" x14ac:dyDescent="0.25">
      <c r="C20" s="153"/>
      <c r="S20" s="4" t="s">
        <v>136</v>
      </c>
      <c r="T20" s="4" t="s">
        <v>172</v>
      </c>
      <c r="U20" s="4"/>
      <c r="V20" s="4"/>
      <c r="W20" s="4">
        <v>180</v>
      </c>
      <c r="X20" s="4" t="s">
        <v>166</v>
      </c>
      <c r="Y20" s="329" t="s">
        <v>173</v>
      </c>
      <c r="Z20" s="4" t="s">
        <v>185</v>
      </c>
      <c r="AA20" s="179"/>
      <c r="AB20" s="13"/>
      <c r="AC20" s="334" t="s">
        <v>65</v>
      </c>
      <c r="AD20" s="408">
        <v>3.6000000000000001E-5</v>
      </c>
      <c r="AE20" t="s">
        <v>589</v>
      </c>
      <c r="AF20" s="203"/>
    </row>
    <row r="21" spans="3:45" x14ac:dyDescent="0.25">
      <c r="C21" s="153"/>
      <c r="S21" s="4" t="s">
        <v>136</v>
      </c>
      <c r="T21" s="4" t="s">
        <v>174</v>
      </c>
      <c r="U21" s="4"/>
      <c r="V21" s="4"/>
      <c r="W21" s="4">
        <v>2</v>
      </c>
      <c r="X21" s="4" t="s">
        <v>166</v>
      </c>
      <c r="Y21" s="329" t="s">
        <v>175</v>
      </c>
      <c r="Z21" s="4" t="s">
        <v>185</v>
      </c>
      <c r="AA21" s="179"/>
      <c r="AB21" s="13"/>
      <c r="AC21" s="334" t="s">
        <v>67</v>
      </c>
      <c r="AD21" s="408">
        <v>3.9000000000000002E-7</v>
      </c>
      <c r="AE21" t="s">
        <v>589</v>
      </c>
      <c r="AF21" s="203"/>
    </row>
    <row r="22" spans="3:45" ht="15.75" thickBot="1" x14ac:dyDescent="0.3">
      <c r="C22" s="153"/>
      <c r="E22" t="s">
        <v>1099</v>
      </c>
      <c r="J22" s="187" t="s">
        <v>1089</v>
      </c>
      <c r="S22" s="4" t="s">
        <v>136</v>
      </c>
      <c r="T22" s="4" t="s">
        <v>176</v>
      </c>
      <c r="U22" s="4"/>
      <c r="V22" s="4"/>
      <c r="W22" s="4">
        <v>5808</v>
      </c>
      <c r="X22" s="4" t="s">
        <v>152</v>
      </c>
      <c r="Y22" s="329"/>
      <c r="Z22" s="4" t="s">
        <v>185</v>
      </c>
      <c r="AA22" s="179"/>
      <c r="AB22" s="13"/>
      <c r="AC22" s="335"/>
      <c r="AD22" s="409"/>
      <c r="AE22" s="204"/>
      <c r="AF22" s="205"/>
    </row>
    <row r="23" spans="3:45" ht="15.75" thickBot="1" x14ac:dyDescent="0.3">
      <c r="E23" s="154" t="s">
        <v>85</v>
      </c>
      <c r="F23" s="155" t="s">
        <v>31</v>
      </c>
      <c r="G23" s="155" t="s">
        <v>407</v>
      </c>
      <c r="H23" s="155" t="s">
        <v>1091</v>
      </c>
      <c r="I23" s="155" t="s">
        <v>1090</v>
      </c>
      <c r="J23" s="155" t="s">
        <v>408</v>
      </c>
      <c r="K23" s="155" t="s">
        <v>537</v>
      </c>
      <c r="L23" s="155" t="s">
        <v>573</v>
      </c>
      <c r="M23" s="155" t="s">
        <v>1087</v>
      </c>
      <c r="N23" s="155" t="s">
        <v>1088</v>
      </c>
      <c r="O23" s="155" t="s">
        <v>1092</v>
      </c>
      <c r="P23" s="400" t="s">
        <v>759</v>
      </c>
    </row>
    <row r="24" spans="3:45" ht="26.25" thickBot="1" x14ac:dyDescent="0.3">
      <c r="E24" s="379" t="s">
        <v>430</v>
      </c>
      <c r="F24" s="156" t="s">
        <v>72</v>
      </c>
      <c r="G24" s="156">
        <f>AD8</f>
        <v>4.1092022116903633E-3</v>
      </c>
      <c r="H24" s="156">
        <f>AP12</f>
        <v>0.69</v>
      </c>
      <c r="I24" s="156">
        <v>0.9</v>
      </c>
      <c r="J24" s="156" t="s">
        <v>73</v>
      </c>
      <c r="K24" s="156" t="s">
        <v>538</v>
      </c>
      <c r="L24" s="156" t="s">
        <v>35</v>
      </c>
      <c r="M24" s="156" t="s">
        <v>1078</v>
      </c>
      <c r="N24" s="156" t="s">
        <v>1075</v>
      </c>
      <c r="O24" s="156" t="s">
        <v>1076</v>
      </c>
      <c r="P24" s="402" t="s">
        <v>1094</v>
      </c>
    </row>
    <row r="25" spans="3:45" ht="26.25" thickBot="1" x14ac:dyDescent="0.3">
      <c r="E25" s="379" t="s">
        <v>270</v>
      </c>
      <c r="F25" s="156" t="s">
        <v>70</v>
      </c>
      <c r="G25" s="156">
        <f>AD9</f>
        <v>0.36334913112164297</v>
      </c>
      <c r="H25" s="156">
        <f>AP15</f>
        <v>0.36499999999999999</v>
      </c>
      <c r="I25" s="156">
        <v>0.36</v>
      </c>
      <c r="J25" s="156" t="s">
        <v>71</v>
      </c>
      <c r="K25" s="156" t="s">
        <v>539</v>
      </c>
      <c r="L25" s="156" t="s">
        <v>404</v>
      </c>
      <c r="M25" s="156" t="s">
        <v>1078</v>
      </c>
      <c r="N25" s="156" t="s">
        <v>1075</v>
      </c>
      <c r="O25" s="156" t="s">
        <v>1076</v>
      </c>
      <c r="P25" s="401"/>
    </row>
    <row r="26" spans="3:45" ht="26.25" thickBot="1" x14ac:dyDescent="0.3">
      <c r="E26" s="379" t="s">
        <v>91</v>
      </c>
      <c r="F26" s="156" t="s">
        <v>860</v>
      </c>
      <c r="G26" s="156">
        <f>AD7</f>
        <v>1.4069905213270142E-2</v>
      </c>
      <c r="H26" s="156"/>
      <c r="I26" s="156"/>
      <c r="J26" s="156"/>
      <c r="K26" s="156" t="s">
        <v>1035</v>
      </c>
      <c r="L26" s="156"/>
      <c r="M26" s="156" t="s">
        <v>1078</v>
      </c>
      <c r="N26" s="156"/>
      <c r="O26" s="156"/>
      <c r="P26" s="401"/>
    </row>
    <row r="28" spans="3:45" x14ac:dyDescent="0.25">
      <c r="E28" s="166" t="s">
        <v>540</v>
      </c>
    </row>
    <row r="29" spans="3:45" x14ac:dyDescent="0.25">
      <c r="C29" s="152"/>
    </row>
    <row r="30" spans="3:45" ht="15.75" thickBot="1" x14ac:dyDescent="0.3">
      <c r="C30" s="152"/>
      <c r="E30" t="s">
        <v>1100</v>
      </c>
      <c r="J30" s="187" t="s">
        <v>1089</v>
      </c>
    </row>
    <row r="31" spans="3:45" ht="15.75" thickBot="1" x14ac:dyDescent="0.3">
      <c r="C31" s="152"/>
      <c r="E31" s="154" t="s">
        <v>114</v>
      </c>
      <c r="F31" s="158" t="s">
        <v>31</v>
      </c>
      <c r="G31" s="158" t="s">
        <v>407</v>
      </c>
      <c r="H31" s="158" t="s">
        <v>1091</v>
      </c>
      <c r="I31" s="158" t="s">
        <v>1090</v>
      </c>
      <c r="J31" s="158" t="s">
        <v>408</v>
      </c>
      <c r="K31" s="158" t="s">
        <v>32</v>
      </c>
      <c r="L31" s="158" t="s">
        <v>573</v>
      </c>
      <c r="M31" s="169" t="s">
        <v>1087</v>
      </c>
      <c r="N31" s="169" t="s">
        <v>1088</v>
      </c>
      <c r="O31" s="169" t="s">
        <v>1092</v>
      </c>
    </row>
    <row r="32" spans="3:45" ht="26.25" thickBot="1" x14ac:dyDescent="0.3">
      <c r="E32" s="380" t="s">
        <v>541</v>
      </c>
      <c r="F32" s="160" t="s">
        <v>58</v>
      </c>
      <c r="G32" s="160">
        <f>AD10</f>
        <v>4.1864139020537122E-2</v>
      </c>
      <c r="H32" s="160">
        <f>AP13</f>
        <v>3.6999999999999998E-2</v>
      </c>
      <c r="I32" s="160">
        <v>5.0900000000000001E-2</v>
      </c>
      <c r="J32" s="160" t="s">
        <v>59</v>
      </c>
      <c r="K32" s="160" t="s">
        <v>542</v>
      </c>
      <c r="L32" s="160" t="s">
        <v>575</v>
      </c>
      <c r="M32" s="160" t="s">
        <v>1078</v>
      </c>
      <c r="N32" s="156" t="s">
        <v>1075</v>
      </c>
      <c r="O32" s="171" t="s">
        <v>1076</v>
      </c>
    </row>
    <row r="33" spans="5:49" ht="15.75" thickBot="1" x14ac:dyDescent="0.3">
      <c r="E33" s="380" t="s">
        <v>543</v>
      </c>
      <c r="F33" s="160" t="s">
        <v>56</v>
      </c>
      <c r="G33" s="160">
        <f>AD11</f>
        <v>1.7239336492890995E-3</v>
      </c>
      <c r="H33" s="160">
        <f>AP14</f>
        <v>6.4000000000000003E-3</v>
      </c>
      <c r="I33" s="160">
        <v>5.1999999999999998E-3</v>
      </c>
      <c r="J33" s="160" t="s">
        <v>57</v>
      </c>
      <c r="K33" s="160" t="s">
        <v>542</v>
      </c>
      <c r="L33" s="160" t="s">
        <v>576</v>
      </c>
      <c r="M33" s="160" t="s">
        <v>1078</v>
      </c>
      <c r="N33" s="160" t="s">
        <v>1075</v>
      </c>
      <c r="O33" s="171" t="s">
        <v>1076</v>
      </c>
    </row>
    <row r="34" spans="5:49" ht="15.75" thickBot="1" x14ac:dyDescent="0.3">
      <c r="E34" s="380" t="s">
        <v>544</v>
      </c>
      <c r="F34" s="160" t="s">
        <v>54</v>
      </c>
      <c r="G34" s="160">
        <f>AD12</f>
        <v>6.0229067930489728E-4</v>
      </c>
      <c r="H34" s="160"/>
      <c r="I34" s="160">
        <v>1E-3</v>
      </c>
      <c r="J34" s="160" t="s">
        <v>545</v>
      </c>
      <c r="K34" s="160" t="s">
        <v>542</v>
      </c>
      <c r="L34" s="160" t="s">
        <v>577</v>
      </c>
      <c r="M34" s="160" t="s">
        <v>1078</v>
      </c>
      <c r="N34" s="171"/>
      <c r="O34" s="171" t="s">
        <v>1076</v>
      </c>
    </row>
    <row r="35" spans="5:49" ht="15.75" thickBot="1" x14ac:dyDescent="0.3">
      <c r="E35" s="380" t="s">
        <v>546</v>
      </c>
      <c r="F35" s="160" t="s">
        <v>547</v>
      </c>
      <c r="G35" s="160">
        <v>0.05</v>
      </c>
      <c r="H35" s="160"/>
      <c r="I35" s="160"/>
      <c r="J35" s="160" t="s">
        <v>60</v>
      </c>
      <c r="K35" s="160" t="s">
        <v>542</v>
      </c>
      <c r="L35" s="160" t="s">
        <v>578</v>
      </c>
      <c r="M35" s="171" t="s">
        <v>1076</v>
      </c>
      <c r="N35" s="171"/>
      <c r="O35" s="171"/>
    </row>
    <row r="36" spans="5:49" x14ac:dyDescent="0.25">
      <c r="E36" s="166" t="s">
        <v>548</v>
      </c>
      <c r="AW36" s="23"/>
    </row>
    <row r="37" spans="5:49" x14ac:dyDescent="0.25">
      <c r="AW37" s="218"/>
    </row>
    <row r="38" spans="5:49" ht="15.75" thickBot="1" x14ac:dyDescent="0.3">
      <c r="E38" t="s">
        <v>1101</v>
      </c>
      <c r="K38" s="187" t="s">
        <v>1089</v>
      </c>
      <c r="AW38" s="218"/>
    </row>
    <row r="39" spans="5:49" ht="15.75" thickBot="1" x14ac:dyDescent="0.3">
      <c r="E39" s="168" t="s">
        <v>451</v>
      </c>
      <c r="F39" s="169" t="s">
        <v>31</v>
      </c>
      <c r="G39" s="169" t="s">
        <v>549</v>
      </c>
      <c r="H39" s="169" t="s">
        <v>952</v>
      </c>
      <c r="I39" s="169" t="s">
        <v>549</v>
      </c>
      <c r="J39" s="169" t="s">
        <v>1034</v>
      </c>
      <c r="K39" s="169" t="s">
        <v>550</v>
      </c>
      <c r="L39" s="169" t="s">
        <v>32</v>
      </c>
      <c r="M39" s="169" t="s">
        <v>1087</v>
      </c>
      <c r="N39" s="169" t="s">
        <v>1088</v>
      </c>
    </row>
    <row r="40" spans="5:49" ht="15.75" thickBot="1" x14ac:dyDescent="0.3">
      <c r="E40" s="186" t="s">
        <v>458</v>
      </c>
      <c r="F40" s="170" t="s">
        <v>61</v>
      </c>
      <c r="G40" s="171">
        <f>AD17</f>
        <v>1.2E-5</v>
      </c>
      <c r="H40" s="170">
        <v>1.2199999999999999E-3</v>
      </c>
      <c r="I40" s="171"/>
      <c r="J40" s="170"/>
      <c r="K40" s="171" t="s">
        <v>551</v>
      </c>
      <c r="L40" s="171" t="s">
        <v>21</v>
      </c>
      <c r="M40" s="160" t="s">
        <v>1078</v>
      </c>
      <c r="N40" s="171" t="s">
        <v>1076</v>
      </c>
    </row>
    <row r="41" spans="5:49" ht="15.75" thickBot="1" x14ac:dyDescent="0.3">
      <c r="E41" s="186" t="s">
        <v>552</v>
      </c>
      <c r="F41" s="170" t="s">
        <v>63</v>
      </c>
      <c r="G41" s="171">
        <v>7.6999999999999997E-15</v>
      </c>
      <c r="H41" s="170">
        <v>1.5199999999999999E-9</v>
      </c>
      <c r="I41" s="171"/>
      <c r="J41" s="170"/>
      <c r="K41" s="171" t="s">
        <v>553</v>
      </c>
      <c r="L41" s="171" t="s">
        <v>21</v>
      </c>
      <c r="M41" s="160" t="s">
        <v>1078</v>
      </c>
      <c r="N41" s="171" t="s">
        <v>1076</v>
      </c>
    </row>
    <row r="42" spans="5:49" ht="15.75" thickBot="1" x14ac:dyDescent="0.3">
      <c r="E42" s="186" t="s">
        <v>554</v>
      </c>
      <c r="F42" s="170" t="s">
        <v>62</v>
      </c>
      <c r="G42" s="171">
        <v>7.6199999999999998E-4</v>
      </c>
      <c r="H42" s="170"/>
      <c r="I42" s="171"/>
      <c r="J42" s="170"/>
      <c r="K42" s="171" t="s">
        <v>555</v>
      </c>
      <c r="L42" s="171" t="s">
        <v>21</v>
      </c>
      <c r="M42" s="171" t="s">
        <v>1076</v>
      </c>
      <c r="N42" s="171"/>
    </row>
    <row r="43" spans="5:49" ht="15.75" thickBot="1" x14ac:dyDescent="0.3">
      <c r="E43" s="186" t="s">
        <v>453</v>
      </c>
      <c r="F43" s="170" t="s">
        <v>66</v>
      </c>
      <c r="G43" s="171">
        <f>AD19</f>
        <v>3.8000000000000002E-4</v>
      </c>
      <c r="H43" s="170">
        <v>3.81E-3</v>
      </c>
      <c r="I43" s="171"/>
      <c r="J43" s="170"/>
      <c r="K43" s="171" t="s">
        <v>556</v>
      </c>
      <c r="L43" s="171" t="s">
        <v>21</v>
      </c>
      <c r="M43" s="160" t="s">
        <v>1078</v>
      </c>
      <c r="N43" s="171" t="s">
        <v>1076</v>
      </c>
    </row>
    <row r="44" spans="5:49" ht="15.75" thickBot="1" x14ac:dyDescent="0.3">
      <c r="E44" s="186" t="s">
        <v>500</v>
      </c>
      <c r="F44" s="170" t="s">
        <v>68</v>
      </c>
      <c r="G44" s="171">
        <f>AD18</f>
        <v>1.7000000000000001E-4</v>
      </c>
      <c r="H44" s="170">
        <v>1.2199999999999999E-3</v>
      </c>
      <c r="I44" s="171"/>
      <c r="J44" s="170"/>
      <c r="K44" s="171" t="s">
        <v>557</v>
      </c>
      <c r="L44" s="171" t="s">
        <v>21</v>
      </c>
      <c r="M44" s="160" t="s">
        <v>1078</v>
      </c>
      <c r="N44" s="171" t="s">
        <v>1076</v>
      </c>
    </row>
    <row r="45" spans="5:49" ht="15.75" thickBot="1" x14ac:dyDescent="0.3">
      <c r="E45" s="186" t="s">
        <v>558</v>
      </c>
      <c r="F45" s="170" t="s">
        <v>67</v>
      </c>
      <c r="G45" s="171">
        <f>AD21</f>
        <v>3.9000000000000002E-7</v>
      </c>
      <c r="H45" s="170">
        <v>3.0499999999999999E-4</v>
      </c>
      <c r="I45" s="171"/>
      <c r="J45" s="170"/>
      <c r="K45" s="171" t="s">
        <v>559</v>
      </c>
      <c r="L45" s="171" t="s">
        <v>21</v>
      </c>
      <c r="M45" s="160" t="s">
        <v>1078</v>
      </c>
      <c r="N45" s="171" t="s">
        <v>1076</v>
      </c>
    </row>
    <row r="46" spans="5:49" ht="15.75" thickBot="1" x14ac:dyDescent="0.3">
      <c r="E46" s="186" t="s">
        <v>560</v>
      </c>
      <c r="F46" s="170" t="s">
        <v>69</v>
      </c>
      <c r="G46" s="171">
        <v>4.57E-5</v>
      </c>
      <c r="H46" s="170"/>
      <c r="I46" s="171"/>
      <c r="J46" s="170"/>
      <c r="K46" s="171" t="s">
        <v>561</v>
      </c>
      <c r="L46" s="171" t="s">
        <v>21</v>
      </c>
      <c r="M46" s="171" t="s">
        <v>1076</v>
      </c>
      <c r="N46" s="171"/>
    </row>
    <row r="47" spans="5:49" ht="15.75" thickBot="1" x14ac:dyDescent="0.3">
      <c r="E47" s="186" t="s">
        <v>562</v>
      </c>
      <c r="F47" s="170" t="s">
        <v>64</v>
      </c>
      <c r="G47" s="171">
        <v>1.52E-5</v>
      </c>
      <c r="H47" s="170"/>
      <c r="I47" s="171"/>
      <c r="J47" s="170"/>
      <c r="K47" s="171" t="s">
        <v>563</v>
      </c>
      <c r="L47" s="171" t="s">
        <v>21</v>
      </c>
      <c r="M47" s="171" t="s">
        <v>1076</v>
      </c>
      <c r="N47" s="171"/>
    </row>
    <row r="48" spans="5:49" ht="15.75" thickBot="1" x14ac:dyDescent="0.3">
      <c r="E48" s="186" t="s">
        <v>564</v>
      </c>
      <c r="F48" s="170" t="s">
        <v>65</v>
      </c>
      <c r="G48" s="171">
        <f>AD20</f>
        <v>3.6000000000000001E-5</v>
      </c>
      <c r="H48" s="170">
        <v>3.0499999999999999E-5</v>
      </c>
      <c r="I48" s="171"/>
      <c r="J48" s="170"/>
      <c r="K48" s="171" t="s">
        <v>565</v>
      </c>
      <c r="L48" s="171" t="s">
        <v>21</v>
      </c>
      <c r="M48" s="160" t="s">
        <v>1078</v>
      </c>
      <c r="N48" s="171" t="s">
        <v>1076</v>
      </c>
    </row>
    <row r="49" spans="4:14" x14ac:dyDescent="0.25">
      <c r="E49" s="397" t="s">
        <v>962</v>
      </c>
      <c r="F49" s="398" t="s">
        <v>1046</v>
      </c>
      <c r="G49" s="398">
        <v>1.2</v>
      </c>
      <c r="H49" s="398"/>
      <c r="I49" s="398"/>
      <c r="J49" s="398"/>
      <c r="K49" s="398"/>
      <c r="L49" s="398"/>
      <c r="M49" s="399" t="s">
        <v>1078</v>
      </c>
      <c r="N49" s="398"/>
    </row>
    <row r="50" spans="4:14" x14ac:dyDescent="0.25">
      <c r="E50" t="s">
        <v>566</v>
      </c>
    </row>
    <row r="51" spans="4:14" ht="17.25" thickBot="1" x14ac:dyDescent="0.3">
      <c r="E51" t="s">
        <v>567</v>
      </c>
      <c r="K51" s="160" t="s">
        <v>1076</v>
      </c>
    </row>
    <row r="52" spans="4:14" ht="15.75" thickBot="1" x14ac:dyDescent="0.3">
      <c r="K52" s="160" t="s">
        <v>1076</v>
      </c>
    </row>
    <row r="55" spans="4:14" x14ac:dyDescent="0.25">
      <c r="D55" s="163" t="s">
        <v>1061</v>
      </c>
      <c r="E55" s="162"/>
    </row>
    <row r="56" spans="4:14" ht="15.75" thickBot="1" x14ac:dyDescent="0.3">
      <c r="L56" s="160" t="s">
        <v>1078</v>
      </c>
    </row>
    <row r="58" spans="4:14" x14ac:dyDescent="0.25">
      <c r="E58" s="18" t="s">
        <v>1070</v>
      </c>
    </row>
    <row r="59" spans="4:14" x14ac:dyDescent="0.25">
      <c r="E59" s="179" t="s">
        <v>1064</v>
      </c>
      <c r="F59" s="179" t="s">
        <v>1062</v>
      </c>
    </row>
    <row r="60" spans="4:14" x14ac:dyDescent="0.25">
      <c r="E60" s="179" t="s">
        <v>1065</v>
      </c>
      <c r="F60" s="179" t="s">
        <v>1063</v>
      </c>
    </row>
    <row r="64" spans="4:14" x14ac:dyDescent="0.25">
      <c r="E64" s="183" t="s">
        <v>405</v>
      </c>
      <c r="F64" s="183" t="s">
        <v>31</v>
      </c>
      <c r="G64" s="183" t="s">
        <v>1073</v>
      </c>
      <c r="H64" s="183"/>
      <c r="I64" s="183" t="s">
        <v>1066</v>
      </c>
      <c r="J64" s="183" t="s">
        <v>571</v>
      </c>
    </row>
    <row r="65" spans="5:10" x14ac:dyDescent="0.25">
      <c r="E65" s="179" t="s">
        <v>1067</v>
      </c>
      <c r="F65" s="179" t="s">
        <v>1069</v>
      </c>
      <c r="G65" s="179">
        <v>0.21201033664749883</v>
      </c>
      <c r="H65" s="179"/>
      <c r="I65" s="179" t="s">
        <v>1063</v>
      </c>
      <c r="J65" s="179" t="s">
        <v>1072</v>
      </c>
    </row>
    <row r="67" spans="5:10" x14ac:dyDescent="0.25">
      <c r="E67" s="183" t="s">
        <v>405</v>
      </c>
      <c r="F67" s="183" t="s">
        <v>31</v>
      </c>
      <c r="G67" s="183" t="s">
        <v>407</v>
      </c>
      <c r="H67" s="183"/>
      <c r="I67" s="183" t="s">
        <v>1066</v>
      </c>
      <c r="J67" s="183" t="s">
        <v>571</v>
      </c>
    </row>
    <row r="68" spans="5:10" x14ac:dyDescent="0.25">
      <c r="E68" s="179" t="s">
        <v>1068</v>
      </c>
      <c r="F68" s="179" t="s">
        <v>853</v>
      </c>
      <c r="G68" s="179">
        <v>0.45</v>
      </c>
      <c r="H68" s="179"/>
      <c r="I68" s="179" t="s">
        <v>1063</v>
      </c>
      <c r="J68" s="179" t="s">
        <v>1071</v>
      </c>
    </row>
    <row r="96" ht="27" customHeight="1" x14ac:dyDescent="0.25"/>
    <row r="104" spans="17:17" x14ac:dyDescent="0.25">
      <c r="Q104" s="5"/>
    </row>
    <row r="136" ht="30" customHeight="1" x14ac:dyDescent="0.25"/>
    <row r="144" ht="28.35" customHeight="1"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4E8FA0-AB91-45C8-A829-BAFF60CC8BF1}">
  <sheetPr>
    <tabColor theme="3" tint="0.89999084444715716"/>
  </sheetPr>
  <dimension ref="A1:BW289"/>
  <sheetViews>
    <sheetView zoomScale="85" zoomScaleNormal="85" workbookViewId="0">
      <selection activeCell="L7" sqref="L7"/>
    </sheetView>
  </sheetViews>
  <sheetFormatPr defaultRowHeight="15" x14ac:dyDescent="0.25"/>
  <cols>
    <col min="1" max="1" width="22.85546875" bestFit="1" customWidth="1"/>
    <col min="3" max="3" width="8.85546875" style="10"/>
    <col min="5" max="5" width="18.140625" customWidth="1"/>
    <col min="6" max="6" width="95.42578125" bestFit="1" customWidth="1"/>
    <col min="7" max="7" width="21.5703125" bestFit="1" customWidth="1"/>
    <col min="8" max="8" width="25.5703125" bestFit="1" customWidth="1"/>
    <col min="9" max="9" width="18.140625" bestFit="1" customWidth="1"/>
    <col min="10" max="10" width="15.140625" customWidth="1"/>
    <col min="11" max="11" width="14.42578125" customWidth="1"/>
    <col min="12" max="12" width="28" bestFit="1" customWidth="1"/>
    <col min="13" max="13" width="19.85546875" customWidth="1"/>
    <col min="14" max="14" width="10.5703125" customWidth="1"/>
    <col min="16" max="16" width="12.42578125" customWidth="1"/>
    <col min="18" max="18" width="22.140625" customWidth="1"/>
    <col min="19" max="19" width="10" bestFit="1" customWidth="1"/>
    <col min="22" max="23" width="11.5703125" bestFit="1" customWidth="1"/>
    <col min="24" max="24" width="9.42578125" customWidth="1"/>
    <col min="41" max="42" width="14.5703125" bestFit="1" customWidth="1"/>
    <col min="43" max="43" width="14.5703125" customWidth="1"/>
    <col min="47" max="47" width="8.85546875" style="10"/>
    <col min="50" max="50" width="13.140625" customWidth="1"/>
    <col min="51" max="51" width="22.5703125" customWidth="1"/>
    <col min="53" max="53" width="22.85546875" customWidth="1"/>
    <col min="54" max="54" width="16.5703125" bestFit="1" customWidth="1"/>
    <col min="55" max="55" width="17.5703125" customWidth="1"/>
    <col min="57" max="57" width="18" bestFit="1" customWidth="1"/>
    <col min="60" max="60" width="22.140625" bestFit="1" customWidth="1"/>
    <col min="61" max="61" width="35.42578125" bestFit="1" customWidth="1"/>
    <col min="64" max="64" width="19.5703125" bestFit="1" customWidth="1"/>
    <col min="67" max="70" width="22.140625" bestFit="1" customWidth="1"/>
    <col min="71" max="71" width="10" bestFit="1" customWidth="1"/>
    <col min="73" max="73" width="9" bestFit="1" customWidth="1"/>
    <col min="74" max="74" width="19.5703125" bestFit="1" customWidth="1"/>
    <col min="76" max="76" width="15.42578125" bestFit="1" customWidth="1"/>
    <col min="77" max="77" width="83.5703125" bestFit="1" customWidth="1"/>
  </cols>
  <sheetData>
    <row r="1" spans="1:63" ht="24" x14ac:dyDescent="0.4">
      <c r="A1" s="394" t="s">
        <v>1107</v>
      </c>
      <c r="AU1" s="10" t="s">
        <v>1110</v>
      </c>
    </row>
    <row r="2" spans="1:63" x14ac:dyDescent="0.25">
      <c r="D2" s="163" t="s">
        <v>600</v>
      </c>
      <c r="E2" s="163"/>
      <c r="BB2" t="s">
        <v>1</v>
      </c>
      <c r="BC2" t="s">
        <v>125</v>
      </c>
    </row>
    <row r="3" spans="1:63" ht="25.5" x14ac:dyDescent="0.25">
      <c r="F3" s="184" t="s">
        <v>511</v>
      </c>
      <c r="G3" s="184" t="s">
        <v>31</v>
      </c>
      <c r="H3" s="184" t="s">
        <v>407</v>
      </c>
      <c r="I3" s="184" t="s">
        <v>936</v>
      </c>
      <c r="J3" s="184" t="s">
        <v>937</v>
      </c>
      <c r="K3" s="184" t="s">
        <v>408</v>
      </c>
      <c r="L3" s="184" t="s">
        <v>32</v>
      </c>
      <c r="M3" s="184" t="s">
        <v>932</v>
      </c>
      <c r="N3" s="184" t="s">
        <v>929</v>
      </c>
      <c r="O3" s="184" t="s">
        <v>952</v>
      </c>
      <c r="P3" s="184" t="s">
        <v>571</v>
      </c>
      <c r="BB3" t="s">
        <v>2</v>
      </c>
      <c r="BC3" t="s">
        <v>126</v>
      </c>
      <c r="BH3" t="s">
        <v>129</v>
      </c>
    </row>
    <row r="4" spans="1:63" x14ac:dyDescent="0.25">
      <c r="F4" s="348" t="s">
        <v>430</v>
      </c>
      <c r="G4" s="349" t="s">
        <v>603</v>
      </c>
      <c r="H4" s="350">
        <f>BG19/1000</f>
        <v>7.8E-2</v>
      </c>
      <c r="I4" s="179"/>
      <c r="J4" s="179"/>
      <c r="K4" s="179"/>
      <c r="L4" s="179" t="s">
        <v>1044</v>
      </c>
      <c r="M4" s="179" t="s">
        <v>933</v>
      </c>
      <c r="N4" s="179" t="s">
        <v>930</v>
      </c>
      <c r="O4" s="179"/>
      <c r="P4" s="179"/>
      <c r="BB4" t="s">
        <v>3</v>
      </c>
      <c r="BC4" t="s">
        <v>127</v>
      </c>
    </row>
    <row r="5" spans="1:63" x14ac:dyDescent="0.25">
      <c r="F5" s="348" t="s">
        <v>270</v>
      </c>
      <c r="G5" s="349" t="s">
        <v>604</v>
      </c>
      <c r="H5" s="350">
        <f>BG23/1000</f>
        <v>0.14699999999999999</v>
      </c>
      <c r="I5" s="179"/>
      <c r="J5" s="179"/>
      <c r="K5" s="179"/>
      <c r="L5" s="179" t="s">
        <v>1044</v>
      </c>
      <c r="M5" s="179" t="s">
        <v>934</v>
      </c>
      <c r="N5" s="179" t="s">
        <v>930</v>
      </c>
      <c r="O5" s="179"/>
      <c r="P5" s="179"/>
      <c r="BB5" t="s">
        <v>4</v>
      </c>
      <c r="BC5" t="s">
        <v>128</v>
      </c>
    </row>
    <row r="6" spans="1:63" x14ac:dyDescent="0.25">
      <c r="F6" s="179" t="s">
        <v>1038</v>
      </c>
      <c r="G6" s="179" t="s">
        <v>1040</v>
      </c>
      <c r="H6" s="179">
        <f>BF27</f>
        <v>28800</v>
      </c>
      <c r="I6" s="179"/>
      <c r="J6" s="179"/>
      <c r="K6" s="179"/>
      <c r="L6" s="179" t="s">
        <v>1042</v>
      </c>
      <c r="M6" s="179"/>
      <c r="N6" s="179"/>
      <c r="O6" s="179"/>
      <c r="P6" s="179"/>
    </row>
    <row r="7" spans="1:63" x14ac:dyDescent="0.25">
      <c r="F7" s="179" t="s">
        <v>1039</v>
      </c>
      <c r="G7" s="179" t="s">
        <v>1041</v>
      </c>
      <c r="H7" s="382">
        <f>((BD28*BD29)/BD31)</f>
        <v>2.8503562945368173</v>
      </c>
      <c r="I7" s="179"/>
      <c r="J7" s="179"/>
      <c r="K7" s="179"/>
      <c r="L7" s="179" t="s">
        <v>1045</v>
      </c>
      <c r="M7" s="179"/>
      <c r="N7" s="179"/>
      <c r="O7" s="179"/>
      <c r="P7" s="179" t="s">
        <v>1043</v>
      </c>
      <c r="U7">
        <f>(H7*3.6)/45.5</f>
        <v>0.22552269583148443</v>
      </c>
      <c r="V7" t="s">
        <v>166</v>
      </c>
      <c r="BB7" t="s">
        <v>228</v>
      </c>
    </row>
    <row r="8" spans="1:63" x14ac:dyDescent="0.25">
      <c r="S8" t="s">
        <v>954</v>
      </c>
    </row>
    <row r="9" spans="1:63" ht="63.75" x14ac:dyDescent="0.3">
      <c r="E9" s="187"/>
      <c r="F9" s="184" t="s">
        <v>511</v>
      </c>
      <c r="G9" s="184" t="s">
        <v>31</v>
      </c>
      <c r="H9" s="184" t="s">
        <v>407</v>
      </c>
      <c r="I9" s="184" t="s">
        <v>936</v>
      </c>
      <c r="J9" s="184" t="s">
        <v>937</v>
      </c>
      <c r="K9" s="184" t="s">
        <v>408</v>
      </c>
      <c r="L9" s="184" t="s">
        <v>32</v>
      </c>
      <c r="M9" s="184" t="s">
        <v>932</v>
      </c>
      <c r="N9" s="184" t="s">
        <v>938</v>
      </c>
      <c r="O9" s="184" t="s">
        <v>952</v>
      </c>
      <c r="P9" s="184" t="s">
        <v>571</v>
      </c>
      <c r="S9" s="353" t="s">
        <v>953</v>
      </c>
      <c r="T9" s="2"/>
      <c r="U9" s="2"/>
      <c r="V9" s="2"/>
      <c r="W9" s="9"/>
      <c r="AZ9" s="22" t="s">
        <v>124</v>
      </c>
      <c r="BA9" s="1"/>
      <c r="BB9" s="1"/>
      <c r="BC9" s="1"/>
      <c r="BD9" s="1"/>
      <c r="BE9" s="1"/>
      <c r="BF9" s="1"/>
      <c r="BG9" s="1"/>
      <c r="BH9" s="1"/>
      <c r="BI9" s="1"/>
      <c r="BJ9" s="1"/>
      <c r="BK9" s="1"/>
    </row>
    <row r="10" spans="1:63" x14ac:dyDescent="0.25">
      <c r="F10" s="178" t="s">
        <v>613</v>
      </c>
      <c r="G10" s="208" t="s">
        <v>609</v>
      </c>
      <c r="H10" s="209">
        <f>BC112*100</f>
        <v>26</v>
      </c>
      <c r="I10" s="352">
        <f>BU97</f>
        <v>26.388888888888889</v>
      </c>
      <c r="J10" s="352"/>
      <c r="K10" s="352" t="str">
        <f t="shared" ref="K10:K31" si="0">W10</f>
        <v>TD(26,26.3888888888889,26)</v>
      </c>
      <c r="L10" s="179" t="s">
        <v>11</v>
      </c>
      <c r="M10" s="178" t="s">
        <v>616</v>
      </c>
      <c r="N10" s="179" t="s">
        <v>955</v>
      </c>
      <c r="O10" s="179" t="s">
        <v>956</v>
      </c>
      <c r="P10" s="179"/>
      <c r="S10" s="10" t="s">
        <v>948</v>
      </c>
      <c r="T10" t="s">
        <v>950</v>
      </c>
      <c r="U10" t="s">
        <v>949</v>
      </c>
      <c r="V10" t="s">
        <v>951</v>
      </c>
      <c r="W10" s="11" t="str">
        <f t="shared" ref="W10:W31" si="1">_xlfn.CONCAT(S10,T10,MIN(H10:J10),U10,MAX(H10:J10),U10,H10,V10)</f>
        <v>TD(26,26.3888888888889,26)</v>
      </c>
      <c r="Y10" t="s">
        <v>935</v>
      </c>
    </row>
    <row r="11" spans="1:63" x14ac:dyDescent="0.25">
      <c r="F11" s="178" t="s">
        <v>647</v>
      </c>
      <c r="G11" s="208" t="s">
        <v>643</v>
      </c>
      <c r="H11" s="209">
        <f>BC113*100</f>
        <v>65</v>
      </c>
      <c r="I11" s="352">
        <f>BS97</f>
        <v>63.888888888888886</v>
      </c>
      <c r="J11" s="179"/>
      <c r="K11" s="352" t="str">
        <f t="shared" si="0"/>
        <v>TD(63.8888888888889,65,65)</v>
      </c>
      <c r="L11" s="179" t="s">
        <v>11</v>
      </c>
      <c r="M11" s="178" t="s">
        <v>618</v>
      </c>
      <c r="N11" s="179" t="s">
        <v>955</v>
      </c>
      <c r="O11" s="179" t="s">
        <v>956</v>
      </c>
      <c r="P11" s="179"/>
      <c r="S11" s="10" t="s">
        <v>948</v>
      </c>
      <c r="T11" t="s">
        <v>950</v>
      </c>
      <c r="U11" t="s">
        <v>949</v>
      </c>
      <c r="V11" t="s">
        <v>951</v>
      </c>
      <c r="W11" s="11" t="str">
        <f t="shared" si="1"/>
        <v>TD(63.8888888888889,65,65)</v>
      </c>
      <c r="Y11" t="s">
        <v>935</v>
      </c>
    </row>
    <row r="12" spans="1:63" x14ac:dyDescent="0.25">
      <c r="F12" s="178" t="s">
        <v>639</v>
      </c>
      <c r="G12" s="208" t="s">
        <v>610</v>
      </c>
      <c r="H12" s="209">
        <f>BC126*100</f>
        <v>100</v>
      </c>
      <c r="I12" s="352">
        <f>BU98</f>
        <v>88.888888888888886</v>
      </c>
      <c r="J12" s="179"/>
      <c r="K12" s="352" t="str">
        <f t="shared" si="0"/>
        <v>TD(88.8888888888889,100,100)</v>
      </c>
      <c r="L12" s="179" t="s">
        <v>11</v>
      </c>
      <c r="M12" s="178" t="s">
        <v>619</v>
      </c>
      <c r="N12" s="179" t="s">
        <v>955</v>
      </c>
      <c r="O12" s="179" t="s">
        <v>956</v>
      </c>
      <c r="P12" s="179"/>
      <c r="S12" s="10" t="s">
        <v>948</v>
      </c>
      <c r="T12" t="s">
        <v>950</v>
      </c>
      <c r="U12" t="s">
        <v>949</v>
      </c>
      <c r="V12" t="s">
        <v>951</v>
      </c>
      <c r="W12" s="11" t="str">
        <f t="shared" si="1"/>
        <v>TD(88.8888888888889,100,100)</v>
      </c>
    </row>
    <row r="13" spans="1:63" x14ac:dyDescent="0.25">
      <c r="F13" s="178" t="s">
        <v>648</v>
      </c>
      <c r="G13" s="208" t="s">
        <v>644</v>
      </c>
      <c r="H13" s="209">
        <v>0</v>
      </c>
      <c r="I13" s="352">
        <f>BS98</f>
        <v>12.962962962962962</v>
      </c>
      <c r="J13" s="179"/>
      <c r="K13" s="352" t="str">
        <f t="shared" si="0"/>
        <v>TD(0,12.962962962963,0)</v>
      </c>
      <c r="L13" s="179" t="s">
        <v>11</v>
      </c>
      <c r="M13" s="178" t="s">
        <v>620</v>
      </c>
      <c r="N13" s="179" t="s">
        <v>955</v>
      </c>
      <c r="O13" s="179" t="s">
        <v>956</v>
      </c>
      <c r="P13" s="179"/>
      <c r="S13" s="10" t="s">
        <v>948</v>
      </c>
      <c r="T13" t="s">
        <v>950</v>
      </c>
      <c r="U13" t="s">
        <v>949</v>
      </c>
      <c r="V13" t="s">
        <v>951</v>
      </c>
      <c r="W13" s="11" t="str">
        <f t="shared" si="1"/>
        <v>TD(0,12.962962962963,0)</v>
      </c>
    </row>
    <row r="14" spans="1:63" x14ac:dyDescent="0.25">
      <c r="F14" s="178" t="s">
        <v>615</v>
      </c>
      <c r="G14" s="208" t="s">
        <v>611</v>
      </c>
      <c r="H14" s="209">
        <f>BE141*100</f>
        <v>2.5</v>
      </c>
      <c r="I14" s="179"/>
      <c r="J14" s="179"/>
      <c r="K14" s="354" t="str">
        <f t="shared" si="0"/>
        <v>TD(2.5,2.5,2.5)</v>
      </c>
      <c r="L14" s="179" t="s">
        <v>11</v>
      </c>
      <c r="M14" s="178" t="s">
        <v>621</v>
      </c>
      <c r="N14" s="179" t="s">
        <v>955</v>
      </c>
      <c r="O14" s="179"/>
      <c r="P14" s="179"/>
      <c r="S14" s="10" t="s">
        <v>948</v>
      </c>
      <c r="T14" t="s">
        <v>950</v>
      </c>
      <c r="U14" t="s">
        <v>949</v>
      </c>
      <c r="V14" t="s">
        <v>951</v>
      </c>
      <c r="W14" s="11" t="str">
        <f t="shared" si="1"/>
        <v>TD(2.5,2.5,2.5)</v>
      </c>
    </row>
    <row r="15" spans="1:63" ht="18.75" x14ac:dyDescent="0.3">
      <c r="F15" s="178" t="s">
        <v>649</v>
      </c>
      <c r="G15" s="208" t="s">
        <v>645</v>
      </c>
      <c r="H15" s="209">
        <f>BE143*100</f>
        <v>97.5</v>
      </c>
      <c r="I15" s="179"/>
      <c r="J15" s="179"/>
      <c r="K15" s="354" t="str">
        <f t="shared" si="0"/>
        <v>TD(97.5,97.5,97.5)</v>
      </c>
      <c r="L15" s="179" t="s">
        <v>11</v>
      </c>
      <c r="M15" s="178" t="s">
        <v>622</v>
      </c>
      <c r="N15" s="179" t="s">
        <v>955</v>
      </c>
      <c r="O15" s="179"/>
      <c r="P15" s="179"/>
      <c r="S15" s="10" t="s">
        <v>948</v>
      </c>
      <c r="T15" t="s">
        <v>950</v>
      </c>
      <c r="U15" t="s">
        <v>949</v>
      </c>
      <c r="V15" t="s">
        <v>951</v>
      </c>
      <c r="W15" s="11" t="str">
        <f t="shared" si="1"/>
        <v>TD(97.5,97.5,97.5)</v>
      </c>
      <c r="AZ15" s="22" t="s">
        <v>109</v>
      </c>
      <c r="BA15" s="1"/>
      <c r="BB15" s="1"/>
      <c r="BC15" s="1"/>
      <c r="BD15" s="1"/>
      <c r="BE15" s="1"/>
      <c r="BF15" s="1"/>
      <c r="BG15" s="1"/>
      <c r="BH15" s="1"/>
      <c r="BI15" s="1"/>
      <c r="BJ15" s="1"/>
      <c r="BK15" s="1"/>
    </row>
    <row r="16" spans="1:63" x14ac:dyDescent="0.25">
      <c r="F16" s="178" t="s">
        <v>614</v>
      </c>
      <c r="G16" s="208" t="s">
        <v>612</v>
      </c>
      <c r="H16" s="209">
        <f>BC155*100</f>
        <v>43</v>
      </c>
      <c r="I16" s="352">
        <f>BU93</f>
        <v>44.170771756978652</v>
      </c>
      <c r="J16" s="179"/>
      <c r="K16" s="352" t="str">
        <f t="shared" si="0"/>
        <v>TD(43,44.1707717569787,43)</v>
      </c>
      <c r="L16" s="179" t="s">
        <v>11</v>
      </c>
      <c r="M16" s="178" t="s">
        <v>617</v>
      </c>
      <c r="N16" s="179" t="s">
        <v>955</v>
      </c>
      <c r="O16" s="179" t="s">
        <v>956</v>
      </c>
      <c r="P16" s="179"/>
      <c r="S16" s="10" t="s">
        <v>948</v>
      </c>
      <c r="T16" t="s">
        <v>950</v>
      </c>
      <c r="U16" t="s">
        <v>949</v>
      </c>
      <c r="V16" t="s">
        <v>951</v>
      </c>
      <c r="W16" s="11" t="str">
        <f t="shared" si="1"/>
        <v>TD(43,44.1707717569787,43)</v>
      </c>
      <c r="AZ16" t="s">
        <v>110</v>
      </c>
    </row>
    <row r="17" spans="6:64" x14ac:dyDescent="0.25">
      <c r="F17" s="178" t="s">
        <v>650</v>
      </c>
      <c r="G17" s="208" t="s">
        <v>646</v>
      </c>
      <c r="H17" s="209">
        <f>BC157*100</f>
        <v>56.999999999999993</v>
      </c>
      <c r="I17" s="352">
        <f>BS93</f>
        <v>55.993431855500816</v>
      </c>
      <c r="J17" s="179"/>
      <c r="K17" s="352" t="str">
        <f t="shared" si="0"/>
        <v>TD(55.9934318555008,57,57)</v>
      </c>
      <c r="L17" s="179" t="s">
        <v>11</v>
      </c>
      <c r="M17" s="178" t="s">
        <v>623</v>
      </c>
      <c r="N17" s="179" t="s">
        <v>955</v>
      </c>
      <c r="O17" s="179" t="s">
        <v>956</v>
      </c>
      <c r="P17" s="179"/>
      <c r="S17" s="10" t="s">
        <v>948</v>
      </c>
      <c r="T17" t="s">
        <v>950</v>
      </c>
      <c r="U17" t="s">
        <v>949</v>
      </c>
      <c r="V17" t="s">
        <v>951</v>
      </c>
      <c r="W17" s="11" t="str">
        <f t="shared" si="1"/>
        <v>TD(55.9934318555008,57,57)</v>
      </c>
      <c r="AZ17" t="s">
        <v>130</v>
      </c>
    </row>
    <row r="18" spans="6:64" x14ac:dyDescent="0.25">
      <c r="F18" s="178" t="s">
        <v>887</v>
      </c>
      <c r="G18" s="208" t="s">
        <v>912</v>
      </c>
      <c r="H18" s="209">
        <f>BU89</f>
        <v>0</v>
      </c>
      <c r="I18" s="179"/>
      <c r="J18" s="179"/>
      <c r="K18" s="354" t="str">
        <f t="shared" si="0"/>
        <v>TD(0,0,0)</v>
      </c>
      <c r="L18" s="179" t="s">
        <v>11</v>
      </c>
      <c r="M18" s="178" t="s">
        <v>931</v>
      </c>
      <c r="N18" s="179" t="s">
        <v>956</v>
      </c>
      <c r="O18" s="179"/>
      <c r="P18" s="179"/>
      <c r="S18" s="10" t="s">
        <v>948</v>
      </c>
      <c r="T18" t="s">
        <v>950</v>
      </c>
      <c r="U18" t="s">
        <v>949</v>
      </c>
      <c r="V18" t="s">
        <v>951</v>
      </c>
      <c r="W18" s="11" t="str">
        <f t="shared" si="1"/>
        <v>TD(0,0,0)</v>
      </c>
      <c r="BB18" s="18" t="s">
        <v>107</v>
      </c>
      <c r="BC18" s="19" t="s">
        <v>74</v>
      </c>
      <c r="BD18" s="19"/>
      <c r="BE18" s="19"/>
      <c r="BF18" s="19"/>
      <c r="BG18" s="19"/>
      <c r="BH18" s="19"/>
      <c r="BI18" s="19" t="s">
        <v>33</v>
      </c>
    </row>
    <row r="19" spans="6:64" x14ac:dyDescent="0.25">
      <c r="F19" s="178" t="s">
        <v>886</v>
      </c>
      <c r="G19" s="208" t="s">
        <v>910</v>
      </c>
      <c r="H19" s="209">
        <f>BS89</f>
        <v>0</v>
      </c>
      <c r="I19" s="179"/>
      <c r="J19" s="179"/>
      <c r="K19" s="354" t="str">
        <f t="shared" si="0"/>
        <v>TD(0,0,0)</v>
      </c>
      <c r="L19" s="179" t="s">
        <v>11</v>
      </c>
      <c r="M19" s="178" t="s">
        <v>931</v>
      </c>
      <c r="N19" s="179" t="s">
        <v>956</v>
      </c>
      <c r="O19" s="179"/>
      <c r="P19" s="179"/>
      <c r="S19" s="10" t="s">
        <v>948</v>
      </c>
      <c r="T19" t="s">
        <v>950</v>
      </c>
      <c r="U19" t="s">
        <v>949</v>
      </c>
      <c r="V19" t="s">
        <v>951</v>
      </c>
      <c r="W19" s="11" t="str">
        <f t="shared" si="1"/>
        <v>TD(0,0,0)</v>
      </c>
      <c r="BB19" s="206" t="s">
        <v>607</v>
      </c>
      <c r="BC19" s="24" t="s">
        <v>3</v>
      </c>
      <c r="BD19">
        <v>341</v>
      </c>
      <c r="BE19" t="s">
        <v>605</v>
      </c>
      <c r="BF19" t="s">
        <v>76</v>
      </c>
      <c r="BG19">
        <v>78</v>
      </c>
      <c r="BH19" t="s">
        <v>75</v>
      </c>
    </row>
    <row r="20" spans="6:64" x14ac:dyDescent="0.25">
      <c r="F20" s="178" t="s">
        <v>924</v>
      </c>
      <c r="G20" s="208" t="s">
        <v>913</v>
      </c>
      <c r="H20" s="209">
        <f>BU90</f>
        <v>24.586913417052216</v>
      </c>
      <c r="I20" s="179"/>
      <c r="J20" s="179"/>
      <c r="K20" s="354" t="str">
        <f t="shared" si="0"/>
        <v>TD(24.5869134170522,24.5869134170522,24.5869134170522)</v>
      </c>
      <c r="L20" s="179" t="s">
        <v>11</v>
      </c>
      <c r="M20" s="178" t="s">
        <v>931</v>
      </c>
      <c r="N20" s="179" t="s">
        <v>956</v>
      </c>
      <c r="O20" s="179"/>
      <c r="P20" s="179"/>
      <c r="S20" s="10" t="s">
        <v>948</v>
      </c>
      <c r="T20" t="s">
        <v>950</v>
      </c>
      <c r="U20" t="s">
        <v>949</v>
      </c>
      <c r="V20" t="s">
        <v>951</v>
      </c>
      <c r="W20" s="11" t="str">
        <f t="shared" si="1"/>
        <v>TD(24.5869134170522,24.5869134170522,24.5869134170522)</v>
      </c>
      <c r="BC20" t="s">
        <v>4</v>
      </c>
      <c r="BD20">
        <v>375</v>
      </c>
      <c r="BE20" t="s">
        <v>77</v>
      </c>
      <c r="BF20" t="s">
        <v>78</v>
      </c>
      <c r="BG20">
        <v>885.8</v>
      </c>
      <c r="BH20" t="s">
        <v>79</v>
      </c>
    </row>
    <row r="21" spans="6:64" x14ac:dyDescent="0.25">
      <c r="F21" s="178" t="s">
        <v>923</v>
      </c>
      <c r="G21" s="208" t="s">
        <v>918</v>
      </c>
      <c r="H21" s="209">
        <f>BS90</f>
        <v>73.364177131526759</v>
      </c>
      <c r="I21" s="179"/>
      <c r="J21" s="179"/>
      <c r="K21" s="354" t="str">
        <f t="shared" si="0"/>
        <v>TD(73.3641771315268,73.3641771315268,73.3641771315268)</v>
      </c>
      <c r="L21" s="179" t="s">
        <v>11</v>
      </c>
      <c r="M21" s="178" t="s">
        <v>931</v>
      </c>
      <c r="N21" s="179" t="s">
        <v>956</v>
      </c>
      <c r="O21" s="179"/>
      <c r="P21" s="179"/>
      <c r="S21" s="10" t="s">
        <v>948</v>
      </c>
      <c r="T21" t="s">
        <v>950</v>
      </c>
      <c r="U21" t="s">
        <v>949</v>
      </c>
      <c r="V21" t="s">
        <v>951</v>
      </c>
      <c r="W21" s="11" t="str">
        <f t="shared" si="1"/>
        <v>TD(73.3641771315268,73.3641771315268,73.3641771315268)</v>
      </c>
    </row>
    <row r="22" spans="6:64" x14ac:dyDescent="0.25">
      <c r="F22" s="178" t="s">
        <v>928</v>
      </c>
      <c r="G22" s="208" t="s">
        <v>914</v>
      </c>
      <c r="H22" s="209">
        <f>BU91</f>
        <v>97.294250281848932</v>
      </c>
      <c r="I22" s="179"/>
      <c r="J22" s="179"/>
      <c r="K22" s="354" t="str">
        <f t="shared" si="0"/>
        <v>TD(97.2942502818489,97.2942502818489,97.2942502818489)</v>
      </c>
      <c r="L22" s="179" t="s">
        <v>11</v>
      </c>
      <c r="M22" s="178" t="s">
        <v>931</v>
      </c>
      <c r="N22" s="179" t="s">
        <v>956</v>
      </c>
      <c r="O22" s="179"/>
      <c r="P22" s="179"/>
      <c r="S22" s="10" t="s">
        <v>948</v>
      </c>
      <c r="T22" t="s">
        <v>950</v>
      </c>
      <c r="U22" t="s">
        <v>949</v>
      </c>
      <c r="V22" t="s">
        <v>951</v>
      </c>
      <c r="W22" s="11" t="str">
        <f t="shared" si="1"/>
        <v>TD(97.2942502818489,97.2942502818489,97.2942502818489)</v>
      </c>
      <c r="BC22" s="19" t="s">
        <v>195</v>
      </c>
      <c r="BD22" s="19"/>
      <c r="BE22" s="19"/>
      <c r="BF22" s="19"/>
      <c r="BG22" s="19"/>
      <c r="BH22" s="19"/>
      <c r="BI22" s="1"/>
    </row>
    <row r="23" spans="6:64" x14ac:dyDescent="0.25">
      <c r="F23" s="178" t="s">
        <v>925</v>
      </c>
      <c r="G23" s="208" t="s">
        <v>919</v>
      </c>
      <c r="H23" s="209">
        <f>BS91</f>
        <v>2.818489289740699</v>
      </c>
      <c r="I23" s="179"/>
      <c r="J23" s="179"/>
      <c r="K23" s="354" t="str">
        <f t="shared" si="0"/>
        <v>TD(2.8184892897407,2.8184892897407,2.8184892897407)</v>
      </c>
      <c r="L23" s="179" t="s">
        <v>11</v>
      </c>
      <c r="M23" s="178" t="s">
        <v>931</v>
      </c>
      <c r="N23" s="179" t="s">
        <v>956</v>
      </c>
      <c r="O23" s="179"/>
      <c r="P23" s="179"/>
      <c r="S23" s="10" t="s">
        <v>948</v>
      </c>
      <c r="T23" t="s">
        <v>950</v>
      </c>
      <c r="U23" t="s">
        <v>949</v>
      </c>
      <c r="V23" t="s">
        <v>951</v>
      </c>
      <c r="W23" s="11" t="str">
        <f t="shared" si="1"/>
        <v>TD(2.8184892897407,2.8184892897407,2.8184892897407)</v>
      </c>
      <c r="BB23" s="206" t="s">
        <v>607</v>
      </c>
      <c r="BC23" s="24" t="s">
        <v>3</v>
      </c>
      <c r="BD23">
        <v>639</v>
      </c>
      <c r="BE23" t="s">
        <v>77</v>
      </c>
      <c r="BF23" t="s">
        <v>78</v>
      </c>
      <c r="BG23">
        <v>147</v>
      </c>
      <c r="BH23" t="s">
        <v>79</v>
      </c>
      <c r="BI23" t="s">
        <v>80</v>
      </c>
    </row>
    <row r="24" spans="6:64" x14ac:dyDescent="0.25">
      <c r="F24" s="178" t="s">
        <v>926</v>
      </c>
      <c r="G24" s="208" t="s">
        <v>915</v>
      </c>
      <c r="H24" s="209">
        <f>BU92</f>
        <v>42.394179894179892</v>
      </c>
      <c r="I24" s="179"/>
      <c r="J24" s="179"/>
      <c r="K24" s="354" t="str">
        <f t="shared" si="0"/>
        <v>TD(42.3941798941799,42.3941798941799,42.3941798941799)</v>
      </c>
      <c r="L24" s="179" t="s">
        <v>11</v>
      </c>
      <c r="M24" s="178" t="s">
        <v>931</v>
      </c>
      <c r="N24" s="179" t="s">
        <v>956</v>
      </c>
      <c r="O24" s="179"/>
      <c r="P24" s="179"/>
      <c r="S24" s="10" t="s">
        <v>948</v>
      </c>
      <c r="T24" t="s">
        <v>950</v>
      </c>
      <c r="U24" t="s">
        <v>949</v>
      </c>
      <c r="V24" t="s">
        <v>951</v>
      </c>
      <c r="W24" s="11" t="str">
        <f t="shared" si="1"/>
        <v>TD(42.3941798941799,42.3941798941799,42.3941798941799)</v>
      </c>
      <c r="BC24" t="s">
        <v>4</v>
      </c>
      <c r="BD24">
        <f>639*1.1</f>
        <v>702.90000000000009</v>
      </c>
      <c r="BE24" t="s">
        <v>77</v>
      </c>
      <c r="BF24" t="s">
        <v>78</v>
      </c>
      <c r="BG24">
        <f>147*1.1</f>
        <v>161.70000000000002</v>
      </c>
      <c r="BH24" t="s">
        <v>79</v>
      </c>
      <c r="BI24" t="s">
        <v>80</v>
      </c>
    </row>
    <row r="25" spans="6:64" x14ac:dyDescent="0.25">
      <c r="F25" s="178" t="s">
        <v>927</v>
      </c>
      <c r="G25" s="208" t="s">
        <v>920</v>
      </c>
      <c r="H25" s="209">
        <f>BS92</f>
        <v>57.638888888888886</v>
      </c>
      <c r="I25" s="179"/>
      <c r="J25" s="179"/>
      <c r="K25" s="354" t="str">
        <f t="shared" si="0"/>
        <v>TD(57.6388888888889,57.6388888888889,57.6388888888889)</v>
      </c>
      <c r="L25" s="179" t="s">
        <v>11</v>
      </c>
      <c r="M25" s="178" t="s">
        <v>931</v>
      </c>
      <c r="N25" s="179" t="s">
        <v>956</v>
      </c>
      <c r="O25" s="179"/>
      <c r="P25" s="179"/>
      <c r="S25" s="10" t="s">
        <v>948</v>
      </c>
      <c r="T25" t="s">
        <v>950</v>
      </c>
      <c r="U25" t="s">
        <v>949</v>
      </c>
      <c r="V25" t="s">
        <v>951</v>
      </c>
      <c r="W25" s="11" t="str">
        <f t="shared" si="1"/>
        <v>TD(57.6388888888889,57.6388888888889,57.6388888888889)</v>
      </c>
    </row>
    <row r="26" spans="6:64" x14ac:dyDescent="0.25">
      <c r="F26" s="178" t="s">
        <v>941</v>
      </c>
      <c r="G26" s="179" t="s">
        <v>916</v>
      </c>
      <c r="H26" s="352">
        <f>BU95</f>
        <v>54.901960784313729</v>
      </c>
      <c r="I26" s="179"/>
      <c r="J26" s="179"/>
      <c r="K26" s="354" t="str">
        <f t="shared" si="0"/>
        <v>TD(54.9019607843137,54.9019607843137,54.9019607843137)</v>
      </c>
      <c r="L26" s="179" t="s">
        <v>11</v>
      </c>
      <c r="M26" s="178" t="s">
        <v>931</v>
      </c>
      <c r="N26" s="179" t="s">
        <v>956</v>
      </c>
      <c r="O26" s="179"/>
      <c r="P26" s="179" t="s">
        <v>947</v>
      </c>
      <c r="S26" s="10" t="s">
        <v>948</v>
      </c>
      <c r="T26" t="s">
        <v>950</v>
      </c>
      <c r="U26" t="s">
        <v>949</v>
      </c>
      <c r="V26" t="s">
        <v>951</v>
      </c>
      <c r="W26" s="11" t="str">
        <f t="shared" si="1"/>
        <v>TD(54.9019607843137,54.9019607843137,54.9019607843137)</v>
      </c>
      <c r="BC26" s="189" t="s">
        <v>100</v>
      </c>
      <c r="BD26" s="1"/>
      <c r="BE26" s="1"/>
      <c r="BF26" s="1"/>
      <c r="BG26" s="1"/>
      <c r="BH26" s="1"/>
      <c r="BI26" s="1"/>
    </row>
    <row r="27" spans="6:64" x14ac:dyDescent="0.25">
      <c r="F27" s="178" t="s">
        <v>942</v>
      </c>
      <c r="G27" s="179" t="s">
        <v>921</v>
      </c>
      <c r="H27" s="352">
        <f>BS95</f>
        <v>43.137254901960794</v>
      </c>
      <c r="I27" s="179"/>
      <c r="J27" s="179"/>
      <c r="K27" s="354" t="str">
        <f t="shared" si="0"/>
        <v>TD(43.1372549019608,43.1372549019608,43.1372549019608)</v>
      </c>
      <c r="L27" s="179" t="s">
        <v>11</v>
      </c>
      <c r="M27" s="178" t="s">
        <v>931</v>
      </c>
      <c r="N27" s="179" t="s">
        <v>956</v>
      </c>
      <c r="O27" s="179"/>
      <c r="P27" s="179" t="s">
        <v>947</v>
      </c>
      <c r="S27" s="10" t="s">
        <v>948</v>
      </c>
      <c r="T27" t="s">
        <v>950</v>
      </c>
      <c r="U27" t="s">
        <v>949</v>
      </c>
      <c r="V27" t="s">
        <v>951</v>
      </c>
      <c r="W27" s="11" t="str">
        <f t="shared" si="1"/>
        <v>TD(43.1372549019608,43.1372549019608,43.1372549019608)</v>
      </c>
      <c r="BC27" t="s">
        <v>81</v>
      </c>
      <c r="BD27">
        <v>12</v>
      </c>
      <c r="BE27" t="s">
        <v>82</v>
      </c>
      <c r="BF27">
        <f>BD27*BD28*BD29</f>
        <v>28800</v>
      </c>
      <c r="BG27">
        <f>BF27/1000</f>
        <v>28.8</v>
      </c>
      <c r="BH27" t="s">
        <v>87</v>
      </c>
      <c r="BI27" t="s">
        <v>601</v>
      </c>
    </row>
    <row r="28" spans="6:64" x14ac:dyDescent="0.25">
      <c r="F28" s="178" t="s">
        <v>943</v>
      </c>
      <c r="G28" s="179" t="s">
        <v>917</v>
      </c>
      <c r="H28" s="352">
        <f>BU96</f>
        <v>28.571428571428577</v>
      </c>
      <c r="I28" s="179"/>
      <c r="J28" s="179"/>
      <c r="K28" s="354" t="str">
        <f t="shared" si="0"/>
        <v>TD(28.5714285714286,28.5714285714286,28.5714285714286)</v>
      </c>
      <c r="L28" s="179" t="s">
        <v>11</v>
      </c>
      <c r="M28" s="178" t="s">
        <v>931</v>
      </c>
      <c r="N28" s="179" t="s">
        <v>956</v>
      </c>
      <c r="O28" s="179"/>
      <c r="P28" s="179" t="s">
        <v>947</v>
      </c>
      <c r="S28" s="10" t="s">
        <v>948</v>
      </c>
      <c r="T28" t="s">
        <v>950</v>
      </c>
      <c r="U28" t="s">
        <v>949</v>
      </c>
      <c r="V28" t="s">
        <v>951</v>
      </c>
      <c r="W28" s="11" t="str">
        <f t="shared" si="1"/>
        <v>TD(28.5714285714286,28.5714285714286,28.5714285714286)</v>
      </c>
      <c r="BC28" t="s">
        <v>84</v>
      </c>
      <c r="BD28">
        <v>12</v>
      </c>
      <c r="BE28" t="s">
        <v>83</v>
      </c>
      <c r="BF28" t="s">
        <v>588</v>
      </c>
      <c r="BG28">
        <v>28.8</v>
      </c>
      <c r="BH28" t="s">
        <v>87</v>
      </c>
      <c r="BI28" t="s">
        <v>602</v>
      </c>
    </row>
    <row r="29" spans="6:64" x14ac:dyDescent="0.25">
      <c r="F29" s="178" t="s">
        <v>944</v>
      </c>
      <c r="G29" s="179" t="s">
        <v>922</v>
      </c>
      <c r="H29" s="352">
        <f>BS96</f>
        <v>71.428571428571431</v>
      </c>
      <c r="I29" s="179"/>
      <c r="J29" s="179"/>
      <c r="K29" s="354" t="str">
        <f t="shared" si="0"/>
        <v>TD(71.4285714285714,71.4285714285714,71.4285714285714)</v>
      </c>
      <c r="L29" s="179" t="s">
        <v>11</v>
      </c>
      <c r="M29" s="178" t="s">
        <v>931</v>
      </c>
      <c r="N29" s="179" t="s">
        <v>956</v>
      </c>
      <c r="O29" s="179"/>
      <c r="P29" s="179" t="s">
        <v>947</v>
      </c>
      <c r="S29" s="10" t="s">
        <v>948</v>
      </c>
      <c r="T29" t="s">
        <v>950</v>
      </c>
      <c r="U29" t="s">
        <v>949</v>
      </c>
      <c r="V29" t="s">
        <v>951</v>
      </c>
      <c r="W29" s="11" t="str">
        <f t="shared" si="1"/>
        <v>TD(71.4285714285714,71.4285714285714,71.4285714285714)</v>
      </c>
      <c r="BC29" t="s">
        <v>85</v>
      </c>
      <c r="BD29">
        <v>200</v>
      </c>
      <c r="BE29" t="s">
        <v>86</v>
      </c>
      <c r="BL29">
        <f>BD29*BD28</f>
        <v>2400</v>
      </c>
    </row>
    <row r="30" spans="6:64" x14ac:dyDescent="0.25">
      <c r="F30" s="178" t="s">
        <v>945</v>
      </c>
      <c r="G30" s="179" t="s">
        <v>939</v>
      </c>
      <c r="H30" s="352">
        <f>BU99</f>
        <v>56.25</v>
      </c>
      <c r="I30" s="179"/>
      <c r="J30" s="179"/>
      <c r="K30" s="354" t="str">
        <f t="shared" si="0"/>
        <v>TD(56.25,56.25,56.25)</v>
      </c>
      <c r="L30" s="179" t="s">
        <v>11</v>
      </c>
      <c r="M30" s="178" t="s">
        <v>931</v>
      </c>
      <c r="N30" s="179" t="s">
        <v>956</v>
      </c>
      <c r="O30" s="179"/>
      <c r="P30" s="179" t="s">
        <v>947</v>
      </c>
      <c r="S30" s="10" t="s">
        <v>948</v>
      </c>
      <c r="T30" t="s">
        <v>950</v>
      </c>
      <c r="U30" t="s">
        <v>949</v>
      </c>
      <c r="V30" t="s">
        <v>951</v>
      </c>
      <c r="W30" s="11" t="str">
        <f t="shared" si="1"/>
        <v>TD(56.25,56.25,56.25)</v>
      </c>
      <c r="BL30">
        <f>BL29/BD31</f>
        <v>2.8503562945368173</v>
      </c>
    </row>
    <row r="31" spans="6:64" x14ac:dyDescent="0.25">
      <c r="F31" s="178" t="s">
        <v>946</v>
      </c>
      <c r="G31" s="179" t="s">
        <v>940</v>
      </c>
      <c r="H31" s="352">
        <f>BS99</f>
        <v>43.749999999999993</v>
      </c>
      <c r="I31" s="179"/>
      <c r="J31" s="179"/>
      <c r="K31" s="354" t="str">
        <f t="shared" si="0"/>
        <v>TD(43.75,43.75,43.75)</v>
      </c>
      <c r="L31" s="179" t="s">
        <v>11</v>
      </c>
      <c r="M31" s="178" t="s">
        <v>931</v>
      </c>
      <c r="N31" s="179" t="s">
        <v>956</v>
      </c>
      <c r="O31" s="179"/>
      <c r="P31" s="179" t="s">
        <v>947</v>
      </c>
      <c r="S31" s="16" t="s">
        <v>948</v>
      </c>
      <c r="T31" s="1" t="s">
        <v>950</v>
      </c>
      <c r="U31" s="1" t="s">
        <v>949</v>
      </c>
      <c r="V31" s="1" t="s">
        <v>951</v>
      </c>
      <c r="W31" s="12" t="str">
        <f t="shared" si="1"/>
        <v>TD(43.75,43.75,43.75)</v>
      </c>
      <c r="BC31" t="s">
        <v>196</v>
      </c>
      <c r="BD31">
        <v>842</v>
      </c>
      <c r="BE31" t="s">
        <v>197</v>
      </c>
      <c r="BI31" t="s">
        <v>198</v>
      </c>
      <c r="BL31" s="383">
        <f>BL30*3.6</f>
        <v>10.261282660332542</v>
      </c>
    </row>
    <row r="32" spans="6:64" x14ac:dyDescent="0.25">
      <c r="BL32" s="384">
        <f>BL31/45.5</f>
        <v>0.22552269583148443</v>
      </c>
    </row>
    <row r="33" spans="4:61" x14ac:dyDescent="0.25">
      <c r="D33" s="163" t="s">
        <v>606</v>
      </c>
      <c r="E33" s="163"/>
      <c r="S33" t="s">
        <v>954</v>
      </c>
    </row>
    <row r="34" spans="4:61" ht="63.75" x14ac:dyDescent="0.25">
      <c r="F34" s="184" t="s">
        <v>511</v>
      </c>
      <c r="G34" s="184" t="s">
        <v>31</v>
      </c>
      <c r="H34" s="184" t="s">
        <v>407</v>
      </c>
      <c r="I34" s="184" t="s">
        <v>936</v>
      </c>
      <c r="J34" s="184" t="s">
        <v>937</v>
      </c>
      <c r="K34" s="184" t="s">
        <v>408</v>
      </c>
      <c r="L34" s="184" t="s">
        <v>32</v>
      </c>
      <c r="M34" s="184" t="s">
        <v>932</v>
      </c>
      <c r="N34" s="184" t="s">
        <v>938</v>
      </c>
      <c r="O34" s="184" t="s">
        <v>952</v>
      </c>
      <c r="P34" s="184" t="s">
        <v>995</v>
      </c>
      <c r="Q34" s="184" t="s">
        <v>571</v>
      </c>
      <c r="S34" s="353" t="s">
        <v>953</v>
      </c>
      <c r="T34" s="2"/>
      <c r="U34" s="2"/>
      <c r="V34" s="2"/>
      <c r="W34" s="9"/>
      <c r="BB34" s="18" t="s">
        <v>108</v>
      </c>
      <c r="BC34" s="19" t="s">
        <v>106</v>
      </c>
      <c r="BD34" s="1"/>
      <c r="BE34" s="1"/>
      <c r="BF34" s="1"/>
      <c r="BG34" s="1"/>
      <c r="BH34" s="1"/>
      <c r="BI34" s="19" t="s">
        <v>33</v>
      </c>
    </row>
    <row r="35" spans="4:61" x14ac:dyDescent="0.25">
      <c r="F35" s="348" t="s">
        <v>590</v>
      </c>
      <c r="G35" s="349" t="s">
        <v>651</v>
      </c>
      <c r="H35" s="349">
        <v>1.2E-5</v>
      </c>
      <c r="I35" s="179"/>
      <c r="J35" s="179"/>
      <c r="K35" s="179" t="str">
        <f>W35</f>
        <v>TD(0.000012,0.000012,0.000012)</v>
      </c>
      <c r="L35" s="348" t="s">
        <v>589</v>
      </c>
      <c r="M35" s="179" t="s">
        <v>625</v>
      </c>
      <c r="N35" s="179" t="s">
        <v>955</v>
      </c>
      <c r="O35" s="179"/>
      <c r="P35" s="179"/>
      <c r="Q35" s="179" t="s">
        <v>6</v>
      </c>
      <c r="S35" s="10" t="s">
        <v>948</v>
      </c>
      <c r="T35" t="s">
        <v>950</v>
      </c>
      <c r="U35" t="s">
        <v>949</v>
      </c>
      <c r="V35" t="s">
        <v>951</v>
      </c>
      <c r="W35" s="11" t="str">
        <f t="shared" ref="W35:W42" si="2">_xlfn.CONCAT(S35,T35,MIN(H35:J35),U35,MAX(H35:J35),U35,H35,V35)</f>
        <v>TD(0.000012,0.000012,0.000012)</v>
      </c>
      <c r="BC35" t="s">
        <v>2</v>
      </c>
      <c r="BD35">
        <v>363</v>
      </c>
      <c r="BE35" t="s">
        <v>89</v>
      </c>
      <c r="BG35">
        <v>84</v>
      </c>
      <c r="BH35" t="s">
        <v>75</v>
      </c>
    </row>
    <row r="36" spans="4:61" ht="17.25" x14ac:dyDescent="0.25">
      <c r="F36" s="348" t="s">
        <v>591</v>
      </c>
      <c r="G36" s="349" t="s">
        <v>652</v>
      </c>
      <c r="H36" s="349">
        <v>1.7000000000000001E-4</v>
      </c>
      <c r="I36" s="179"/>
      <c r="J36" s="179"/>
      <c r="K36" s="179" t="str">
        <f t="shared" ref="K36:K42" si="3">W36</f>
        <v>TD(0.00017,0.00017,0.00017)</v>
      </c>
      <c r="L36" s="348" t="s">
        <v>589</v>
      </c>
      <c r="M36" s="179" t="s">
        <v>625</v>
      </c>
      <c r="N36" s="179"/>
      <c r="O36" s="179"/>
      <c r="P36" s="179"/>
      <c r="Q36" s="179" t="s">
        <v>6</v>
      </c>
      <c r="S36" s="10" t="s">
        <v>948</v>
      </c>
      <c r="T36" t="s">
        <v>950</v>
      </c>
      <c r="U36" t="s">
        <v>949</v>
      </c>
      <c r="V36" t="s">
        <v>951</v>
      </c>
      <c r="W36" s="11" t="str">
        <f t="shared" si="2"/>
        <v>TD(0.00017,0.00017,0.00017)</v>
      </c>
      <c r="BG36">
        <v>617</v>
      </c>
      <c r="BH36" t="s">
        <v>88</v>
      </c>
    </row>
    <row r="37" spans="4:61" x14ac:dyDescent="0.25">
      <c r="F37" s="348" t="s">
        <v>592</v>
      </c>
      <c r="G37" s="349" t="s">
        <v>653</v>
      </c>
      <c r="H37" s="349">
        <v>3.8000000000000002E-4</v>
      </c>
      <c r="I37" s="179"/>
      <c r="J37" s="179"/>
      <c r="K37" s="179" t="str">
        <f t="shared" si="3"/>
        <v>TD(0.00038,0.00038,0.00038)</v>
      </c>
      <c r="L37" s="348" t="s">
        <v>589</v>
      </c>
      <c r="M37" s="179" t="s">
        <v>625</v>
      </c>
      <c r="N37" s="179"/>
      <c r="O37" s="179"/>
      <c r="P37" s="179"/>
      <c r="Q37" s="179" t="s">
        <v>6</v>
      </c>
      <c r="S37" s="10" t="s">
        <v>948</v>
      </c>
      <c r="T37" t="s">
        <v>950</v>
      </c>
      <c r="U37" t="s">
        <v>949</v>
      </c>
      <c r="V37" t="s">
        <v>951</v>
      </c>
      <c r="W37" s="11" t="str">
        <f t="shared" si="2"/>
        <v>TD(0.00038,0.00038,0.00038)</v>
      </c>
    </row>
    <row r="38" spans="4:61" ht="17.25" x14ac:dyDescent="0.25">
      <c r="F38" s="348" t="s">
        <v>593</v>
      </c>
      <c r="G38" s="349" t="s">
        <v>654</v>
      </c>
      <c r="H38" s="349">
        <v>3.6000000000000001E-5</v>
      </c>
      <c r="I38" s="179"/>
      <c r="J38" s="179"/>
      <c r="K38" s="179" t="str">
        <f t="shared" si="3"/>
        <v>TD(0.000036,0.000036,0.000036)</v>
      </c>
      <c r="L38" s="348" t="s">
        <v>589</v>
      </c>
      <c r="M38" s="179" t="s">
        <v>625</v>
      </c>
      <c r="N38" s="179"/>
      <c r="O38" s="179"/>
      <c r="P38" s="179"/>
      <c r="Q38" s="179" t="s">
        <v>6</v>
      </c>
      <c r="S38" s="10" t="s">
        <v>948</v>
      </c>
      <c r="T38" t="s">
        <v>950</v>
      </c>
      <c r="U38" t="s">
        <v>949</v>
      </c>
      <c r="V38" t="s">
        <v>951</v>
      </c>
      <c r="W38" s="11" t="str">
        <f t="shared" si="2"/>
        <v>TD(0.000036,0.000036,0.000036)</v>
      </c>
      <c r="BC38" s="19" t="s">
        <v>90</v>
      </c>
      <c r="BD38" s="1"/>
      <c r="BE38" s="1"/>
      <c r="BF38" s="1"/>
      <c r="BG38" s="1"/>
      <c r="BH38" s="1"/>
      <c r="BI38" s="1"/>
    </row>
    <row r="39" spans="4:61" x14ac:dyDescent="0.25">
      <c r="F39" s="348" t="s">
        <v>594</v>
      </c>
      <c r="G39" s="349" t="s">
        <v>655</v>
      </c>
      <c r="H39" s="349">
        <v>3.9000000000000002E-7</v>
      </c>
      <c r="I39" s="179"/>
      <c r="J39" s="179"/>
      <c r="K39" s="179" t="str">
        <f t="shared" si="3"/>
        <v>TD(0.00000039,0.00000039,0.00000039)</v>
      </c>
      <c r="L39" s="348" t="s">
        <v>589</v>
      </c>
      <c r="M39" s="179" t="s">
        <v>625</v>
      </c>
      <c r="N39" s="179"/>
      <c r="O39" s="179"/>
      <c r="P39" s="179"/>
      <c r="Q39" s="179" t="s">
        <v>6</v>
      </c>
      <c r="S39" s="10" t="s">
        <v>948</v>
      </c>
      <c r="T39" t="s">
        <v>950</v>
      </c>
      <c r="U39" t="s">
        <v>949</v>
      </c>
      <c r="V39" t="s">
        <v>951</v>
      </c>
      <c r="W39" s="11" t="str">
        <f t="shared" si="2"/>
        <v>TD(0.00000039,0.00000039,0.00000039)</v>
      </c>
      <c r="BC39" t="s">
        <v>91</v>
      </c>
      <c r="BD39">
        <v>0.02</v>
      </c>
      <c r="BE39" t="s">
        <v>92</v>
      </c>
      <c r="BF39" t="s">
        <v>94</v>
      </c>
      <c r="BG39">
        <v>222</v>
      </c>
      <c r="BH39" t="s">
        <v>101</v>
      </c>
    </row>
    <row r="40" spans="4:61" x14ac:dyDescent="0.25">
      <c r="F40" s="348" t="s">
        <v>595</v>
      </c>
      <c r="G40" s="349" t="s">
        <v>656</v>
      </c>
      <c r="H40" s="349">
        <v>1.2</v>
      </c>
      <c r="I40" s="179"/>
      <c r="J40" s="179"/>
      <c r="K40" s="179" t="str">
        <f t="shared" si="3"/>
        <v>TD(1.2,1.2,1.2)</v>
      </c>
      <c r="L40" s="348" t="s">
        <v>589</v>
      </c>
      <c r="M40" s="179" t="s">
        <v>625</v>
      </c>
      <c r="N40" s="179"/>
      <c r="O40" s="179"/>
      <c r="P40" s="179"/>
      <c r="Q40" s="179"/>
      <c r="S40" s="10" t="s">
        <v>948</v>
      </c>
      <c r="T40" t="s">
        <v>950</v>
      </c>
      <c r="U40" t="s">
        <v>949</v>
      </c>
      <c r="V40" t="s">
        <v>951</v>
      </c>
      <c r="W40" s="11" t="str">
        <f t="shared" si="2"/>
        <v>TD(1.2,1.2,1.2)</v>
      </c>
      <c r="BD40">
        <v>4.0999999999999996</v>
      </c>
      <c r="BE40" t="s">
        <v>93</v>
      </c>
      <c r="BF40" t="s">
        <v>95</v>
      </c>
    </row>
    <row r="41" spans="4:61" x14ac:dyDescent="0.25">
      <c r="F41" s="348" t="s">
        <v>596</v>
      </c>
      <c r="G41" s="349" t="s">
        <v>657</v>
      </c>
      <c r="H41" s="349">
        <v>7.6999999999999997E-15</v>
      </c>
      <c r="I41" s="179"/>
      <c r="J41" s="179"/>
      <c r="K41" s="179" t="str">
        <f t="shared" si="3"/>
        <v>TD(0.0000000000000077,0.0000000000000077,0.0000000000000077)</v>
      </c>
      <c r="L41" s="348" t="s">
        <v>589</v>
      </c>
      <c r="M41" s="179" t="s">
        <v>625</v>
      </c>
      <c r="N41" s="179"/>
      <c r="O41" s="179"/>
      <c r="P41" s="179"/>
      <c r="Q41" s="179" t="s">
        <v>6</v>
      </c>
      <c r="S41" s="10" t="s">
        <v>948</v>
      </c>
      <c r="T41" t="s">
        <v>950</v>
      </c>
      <c r="U41" t="s">
        <v>949</v>
      </c>
      <c r="V41" t="s">
        <v>951</v>
      </c>
      <c r="W41" s="11" t="str">
        <f t="shared" si="2"/>
        <v>TD(0.0000000000000077,0.0000000000000077,0.0000000000000077)</v>
      </c>
    </row>
    <row r="42" spans="4:61" x14ac:dyDescent="0.25">
      <c r="F42" s="348" t="s">
        <v>597</v>
      </c>
      <c r="G42" s="349" t="s">
        <v>658</v>
      </c>
      <c r="H42" s="349">
        <v>1.2E-8</v>
      </c>
      <c r="I42" s="179"/>
      <c r="J42" s="179"/>
      <c r="K42" s="179" t="str">
        <f t="shared" si="3"/>
        <v>TD(0.000000012,0.000000012,0.000000012)</v>
      </c>
      <c r="L42" s="348" t="s">
        <v>589</v>
      </c>
      <c r="M42" s="179" t="s">
        <v>625</v>
      </c>
      <c r="N42" s="179"/>
      <c r="O42" s="179"/>
      <c r="P42" s="179"/>
      <c r="Q42" s="179" t="s">
        <v>608</v>
      </c>
      <c r="S42" s="16" t="s">
        <v>948</v>
      </c>
      <c r="T42" s="1" t="s">
        <v>950</v>
      </c>
      <c r="U42" s="1" t="s">
        <v>949</v>
      </c>
      <c r="V42" s="1" t="s">
        <v>951</v>
      </c>
      <c r="W42" s="12" t="str">
        <f t="shared" si="2"/>
        <v>TD(0.000000012,0.000000012,0.000000012)</v>
      </c>
      <c r="BC42" t="s">
        <v>96</v>
      </c>
      <c r="BD42">
        <v>940</v>
      </c>
      <c r="BE42" t="s">
        <v>97</v>
      </c>
      <c r="BG42" s="20">
        <f>BD39*BD42*BD43</f>
        <v>221.84000000000003</v>
      </c>
    </row>
    <row r="43" spans="4:61" x14ac:dyDescent="0.25">
      <c r="BC43" t="s">
        <v>98</v>
      </c>
      <c r="BD43">
        <v>11.8</v>
      </c>
      <c r="BE43" t="s">
        <v>99</v>
      </c>
      <c r="BG43">
        <f>BD40*BD45*BD46</f>
        <v>30.75</v>
      </c>
    </row>
    <row r="44" spans="4:61" x14ac:dyDescent="0.25">
      <c r="S44" t="s">
        <v>954</v>
      </c>
      <c r="BG44">
        <f>BG42+BG43</f>
        <v>252.59000000000003</v>
      </c>
      <c r="BH44" t="s">
        <v>101</v>
      </c>
    </row>
    <row r="45" spans="4:61" ht="63.75" x14ac:dyDescent="0.25">
      <c r="F45" s="184" t="s">
        <v>511</v>
      </c>
      <c r="G45" s="184" t="s">
        <v>31</v>
      </c>
      <c r="H45" s="184" t="s">
        <v>407</v>
      </c>
      <c r="I45" s="184" t="s">
        <v>936</v>
      </c>
      <c r="J45" s="184" t="s">
        <v>937</v>
      </c>
      <c r="K45" s="184" t="s">
        <v>408</v>
      </c>
      <c r="L45" s="184" t="s">
        <v>32</v>
      </c>
      <c r="M45" s="184" t="s">
        <v>932</v>
      </c>
      <c r="N45" s="184" t="s">
        <v>938</v>
      </c>
      <c r="O45" s="184" t="s">
        <v>952</v>
      </c>
      <c r="P45" s="184" t="s">
        <v>995</v>
      </c>
      <c r="Q45" s="184" t="s">
        <v>571</v>
      </c>
      <c r="S45" s="353" t="s">
        <v>953</v>
      </c>
      <c r="T45" s="2"/>
      <c r="U45" s="2"/>
      <c r="V45" s="2"/>
      <c r="W45" s="9"/>
      <c r="BC45" t="s">
        <v>96</v>
      </c>
      <c r="BD45">
        <v>1.25</v>
      </c>
      <c r="BE45" t="s">
        <v>97</v>
      </c>
    </row>
    <row r="46" spans="4:61" x14ac:dyDescent="0.25">
      <c r="F46" s="179" t="s">
        <v>151</v>
      </c>
      <c r="G46" s="179" t="s">
        <v>659</v>
      </c>
      <c r="H46" s="179">
        <f>41.8/1000</f>
        <v>4.1799999999999997E-2</v>
      </c>
      <c r="I46" s="179"/>
      <c r="J46" s="179"/>
      <c r="K46" s="179" t="str">
        <f>W46</f>
        <v>TD(0.0418,0.0418,0.0418)</v>
      </c>
      <c r="L46" s="179" t="s">
        <v>188</v>
      </c>
      <c r="M46" s="179" t="s">
        <v>624</v>
      </c>
      <c r="N46" s="179"/>
      <c r="O46" s="179"/>
      <c r="P46" s="179"/>
      <c r="Q46" s="179"/>
      <c r="S46" s="10" t="s">
        <v>948</v>
      </c>
      <c r="T46" t="s">
        <v>950</v>
      </c>
      <c r="U46" t="s">
        <v>949</v>
      </c>
      <c r="V46" t="s">
        <v>951</v>
      </c>
      <c r="W46" s="11" t="str">
        <f>_xlfn.CONCAT(S46,T46,MIN(H46:J46),U46,MAX(H46:J46),U46,H46,V46)</f>
        <v>TD(0.0418,0.0418,0.0418)</v>
      </c>
      <c r="BC46" t="s">
        <v>98</v>
      </c>
      <c r="BD46">
        <v>6</v>
      </c>
      <c r="BE46" t="s">
        <v>99</v>
      </c>
    </row>
    <row r="47" spans="4:61" x14ac:dyDescent="0.25">
      <c r="F47" s="179" t="s">
        <v>190</v>
      </c>
      <c r="G47" s="179" t="s">
        <v>660</v>
      </c>
      <c r="H47" s="179">
        <f>1.72/1000</f>
        <v>1.72E-3</v>
      </c>
      <c r="I47" s="179"/>
      <c r="J47" s="179"/>
      <c r="K47" s="179" t="str">
        <f t="shared" ref="K47:K48" si="4">W47</f>
        <v>TD(0.00172,0.00172,0.00172)</v>
      </c>
      <c r="L47" s="179" t="s">
        <v>187</v>
      </c>
      <c r="M47" s="179" t="s">
        <v>624</v>
      </c>
      <c r="N47" s="179"/>
      <c r="O47" s="179"/>
      <c r="P47" s="179" t="s">
        <v>599</v>
      </c>
      <c r="Q47" s="179"/>
      <c r="S47" s="10" t="s">
        <v>948</v>
      </c>
      <c r="T47" t="s">
        <v>950</v>
      </c>
      <c r="U47" t="s">
        <v>949</v>
      </c>
      <c r="V47" t="s">
        <v>951</v>
      </c>
      <c r="W47" s="11" t="str">
        <f>_xlfn.CONCAT(S47,T47,MIN(H47:J47),U47,MAX(H47:J47),U47,H47,V47)</f>
        <v>TD(0.00172,0.00172,0.00172)</v>
      </c>
    </row>
    <row r="48" spans="4:61" x14ac:dyDescent="0.25">
      <c r="F48" s="179" t="s">
        <v>156</v>
      </c>
      <c r="G48" s="179" t="s">
        <v>661</v>
      </c>
      <c r="H48" s="381">
        <f>0.603/1.084/1000</f>
        <v>5.5627306273062726E-4</v>
      </c>
      <c r="I48" s="179"/>
      <c r="J48" s="179"/>
      <c r="K48" s="179" t="str">
        <f t="shared" si="4"/>
        <v>TD(0.000556273062730627,0.000556273062730627,0.000556273062730627)</v>
      </c>
      <c r="L48" s="179" t="s">
        <v>186</v>
      </c>
      <c r="M48" s="179" t="s">
        <v>624</v>
      </c>
      <c r="N48" s="179"/>
      <c r="O48" s="179"/>
      <c r="P48" s="179" t="s">
        <v>586</v>
      </c>
      <c r="Q48" s="179"/>
      <c r="S48" s="16" t="s">
        <v>948</v>
      </c>
      <c r="T48" s="1" t="s">
        <v>950</v>
      </c>
      <c r="U48" s="1" t="s">
        <v>949</v>
      </c>
      <c r="V48" s="1" t="s">
        <v>951</v>
      </c>
      <c r="W48" s="12" t="str">
        <f>_xlfn.CONCAT(S48,T48,MIN(H48:J48),U48,MAX(H48:J48),U48,H48,V48)</f>
        <v>TD(0.000556273062730627,0.000556273062730627,0.000556273062730627)</v>
      </c>
      <c r="BC48" t="s">
        <v>102</v>
      </c>
    </row>
    <row r="54" spans="5:63" ht="18.75" x14ac:dyDescent="0.3">
      <c r="E54" s="163" t="s">
        <v>985</v>
      </c>
      <c r="AZ54" s="22" t="s">
        <v>111</v>
      </c>
      <c r="BA54" s="1"/>
      <c r="BB54" s="1"/>
      <c r="BC54" s="1"/>
      <c r="BD54" s="1"/>
      <c r="BE54" s="1"/>
      <c r="BF54" s="1"/>
      <c r="BG54" s="1"/>
      <c r="BH54" s="1"/>
      <c r="BI54" s="1"/>
      <c r="BJ54" s="1"/>
      <c r="BK54" s="1"/>
    </row>
    <row r="55" spans="5:63" x14ac:dyDescent="0.25">
      <c r="AZ55" t="s">
        <v>113</v>
      </c>
    </row>
    <row r="57" spans="5:63" x14ac:dyDescent="0.25">
      <c r="F57" s="18" t="s">
        <v>1070</v>
      </c>
      <c r="BB57" s="18" t="s">
        <v>114</v>
      </c>
      <c r="BC57" s="19" t="s">
        <v>115</v>
      </c>
      <c r="BD57" s="1"/>
      <c r="BE57" s="1"/>
      <c r="BF57" s="1"/>
      <c r="BG57" s="1"/>
      <c r="BH57" s="1"/>
      <c r="BI57" s="1"/>
    </row>
    <row r="58" spans="5:63" x14ac:dyDescent="0.25">
      <c r="F58" s="179" t="s">
        <v>1064</v>
      </c>
      <c r="G58" s="179" t="s">
        <v>1062</v>
      </c>
      <c r="BC58" t="s">
        <v>116</v>
      </c>
      <c r="BI58" t="s">
        <v>103</v>
      </c>
    </row>
    <row r="59" spans="5:63" x14ac:dyDescent="0.25">
      <c r="F59" s="179" t="s">
        <v>1065</v>
      </c>
      <c r="G59" s="179" t="s">
        <v>1063</v>
      </c>
      <c r="BC59" s="24" t="s">
        <v>117</v>
      </c>
      <c r="BI59" t="s">
        <v>105</v>
      </c>
    </row>
    <row r="60" spans="5:63" x14ac:dyDescent="0.25">
      <c r="BC60" t="s">
        <v>118</v>
      </c>
    </row>
    <row r="62" spans="5:63" x14ac:dyDescent="0.25">
      <c r="E62" s="18" t="s">
        <v>1108</v>
      </c>
      <c r="BB62" s="206" t="s">
        <v>607</v>
      </c>
      <c r="BC62" t="s">
        <v>151</v>
      </c>
      <c r="BD62">
        <v>41.8</v>
      </c>
      <c r="BE62" t="s">
        <v>188</v>
      </c>
      <c r="BI62" t="s">
        <v>180</v>
      </c>
    </row>
    <row r="63" spans="5:63" x14ac:dyDescent="0.25">
      <c r="F63" s="182" t="s">
        <v>511</v>
      </c>
      <c r="G63" s="182" t="s">
        <v>31</v>
      </c>
      <c r="H63" s="182" t="s">
        <v>407</v>
      </c>
      <c r="I63" s="182" t="s">
        <v>936</v>
      </c>
      <c r="J63" s="182" t="s">
        <v>937</v>
      </c>
      <c r="K63" s="182" t="s">
        <v>408</v>
      </c>
      <c r="L63" s="182" t="s">
        <v>32</v>
      </c>
      <c r="M63" s="182" t="s">
        <v>932</v>
      </c>
      <c r="N63" s="182" t="s">
        <v>938</v>
      </c>
      <c r="O63" s="182" t="s">
        <v>952</v>
      </c>
      <c r="P63" s="182" t="s">
        <v>995</v>
      </c>
      <c r="Q63" s="182" t="s">
        <v>571</v>
      </c>
      <c r="S63" s="411" t="s">
        <v>953</v>
      </c>
      <c r="T63" s="2"/>
      <c r="U63" s="2"/>
      <c r="V63" s="2"/>
      <c r="W63" s="9"/>
      <c r="AZ63" s="21" t="s">
        <v>104</v>
      </c>
      <c r="BB63" s="206" t="s">
        <v>607</v>
      </c>
      <c r="BC63" t="s">
        <v>190</v>
      </c>
      <c r="BD63">
        <v>1.72</v>
      </c>
      <c r="BE63" t="s">
        <v>187</v>
      </c>
      <c r="BI63" t="s">
        <v>181</v>
      </c>
    </row>
    <row r="64" spans="5:63" x14ac:dyDescent="0.25">
      <c r="F64" s="179" t="s">
        <v>637</v>
      </c>
      <c r="G64" s="178" t="s">
        <v>626</v>
      </c>
      <c r="H64" s="352">
        <f>BE116*100</f>
        <v>11.538461538461538</v>
      </c>
      <c r="I64" s="179"/>
      <c r="J64" s="179"/>
      <c r="K64" s="179" t="str">
        <f>W64</f>
        <v>TD(11.5384615384615,11.5384615384615,11.5384615384615)</v>
      </c>
      <c r="L64" s="179" t="s">
        <v>11</v>
      </c>
      <c r="M64" s="179" t="s">
        <v>968</v>
      </c>
      <c r="N64" s="179" t="s">
        <v>975</v>
      </c>
      <c r="O64" s="179"/>
      <c r="P64" s="179"/>
      <c r="Q64" s="179" t="s">
        <v>979</v>
      </c>
      <c r="S64" s="10" t="s">
        <v>948</v>
      </c>
      <c r="T64" t="s">
        <v>950</v>
      </c>
      <c r="U64" t="s">
        <v>949</v>
      </c>
      <c r="V64" t="s">
        <v>951</v>
      </c>
      <c r="W64" s="11" t="str">
        <f>_xlfn.CONCAT(S64,T64,MIN(H64:J64),U64,MAX(H64:J64),U64,H64,V64)</f>
        <v>TD(11.5384615384615,11.5384615384615,11.5384615384615)</v>
      </c>
      <c r="AZ64" s="21"/>
      <c r="BB64" s="206" t="s">
        <v>607</v>
      </c>
      <c r="BC64" t="s">
        <v>156</v>
      </c>
      <c r="BD64">
        <f>0.603/1.084</f>
        <v>0.55627306273062727</v>
      </c>
      <c r="BE64" t="s">
        <v>186</v>
      </c>
      <c r="BI64" t="s">
        <v>182</v>
      </c>
      <c r="BK64" t="s">
        <v>189</v>
      </c>
    </row>
    <row r="65" spans="6:63" x14ac:dyDescent="0.25">
      <c r="F65" s="179" t="s">
        <v>638</v>
      </c>
      <c r="G65" s="178" t="s">
        <v>627</v>
      </c>
      <c r="H65" s="352">
        <f>BE117*100</f>
        <v>30.76923076923077</v>
      </c>
      <c r="I65" s="179"/>
      <c r="J65" s="179"/>
      <c r="K65" s="179" t="str">
        <f t="shared" ref="K65:K76" si="5">W65</f>
        <v>TD(30.7692307692308,30.7692307692308,30.7692307692308)</v>
      </c>
      <c r="L65" s="179" t="s">
        <v>11</v>
      </c>
      <c r="M65" s="179" t="s">
        <v>969</v>
      </c>
      <c r="N65" s="179" t="s">
        <v>975</v>
      </c>
      <c r="O65" s="179"/>
      <c r="P65" s="179"/>
      <c r="Q65" s="179" t="s">
        <v>987</v>
      </c>
      <c r="S65" s="10" t="s">
        <v>948</v>
      </c>
      <c r="T65" t="s">
        <v>950</v>
      </c>
      <c r="U65" t="s">
        <v>949</v>
      </c>
      <c r="V65" t="s">
        <v>951</v>
      </c>
      <c r="W65" s="11" t="str">
        <f>_xlfn.CONCAT(S65,T65,MIN(H65:J65),U65,MAX(H65:J65),U65,H65,V65)</f>
        <v>TD(30.7692307692308,30.7692307692308,30.7692307692308)</v>
      </c>
      <c r="AZ65" s="21"/>
    </row>
    <row r="66" spans="6:63" x14ac:dyDescent="0.25">
      <c r="F66" s="179" t="s">
        <v>983</v>
      </c>
      <c r="G66" s="178" t="s">
        <v>628</v>
      </c>
      <c r="H66" s="352">
        <f>BE118*100</f>
        <v>30.76923076923077</v>
      </c>
      <c r="I66" s="179"/>
      <c r="J66" s="179"/>
      <c r="K66" s="179" t="str">
        <f t="shared" si="5"/>
        <v>TD(30.7692307692308,30.7692307692308,30.7692307692308)</v>
      </c>
      <c r="L66" s="179" t="s">
        <v>11</v>
      </c>
      <c r="M66" s="179" t="s">
        <v>970</v>
      </c>
      <c r="N66" s="179" t="s">
        <v>975</v>
      </c>
      <c r="O66" s="179"/>
      <c r="P66" s="179"/>
      <c r="Q66" s="179" t="s">
        <v>979</v>
      </c>
      <c r="S66" s="10" t="s">
        <v>948</v>
      </c>
      <c r="T66" t="s">
        <v>950</v>
      </c>
      <c r="U66" t="s">
        <v>949</v>
      </c>
      <c r="V66" t="s">
        <v>951</v>
      </c>
      <c r="W66" s="11" t="str">
        <f>_xlfn.CONCAT(S66,T66,MIN(H66:J66),U66,MAX(H66:J66),U66,H66,V66)</f>
        <v>TD(30.7692307692308,30.7692307692308,30.7692307692308)</v>
      </c>
      <c r="AZ66" s="21"/>
      <c r="BC66" s="19" t="s">
        <v>191</v>
      </c>
      <c r="BD66" s="19"/>
      <c r="BE66" s="19"/>
      <c r="BF66" s="19"/>
      <c r="BG66" s="19"/>
      <c r="BH66" s="19"/>
      <c r="BI66" s="19"/>
    </row>
    <row r="67" spans="6:63" x14ac:dyDescent="0.25">
      <c r="F67" s="179" t="s">
        <v>984</v>
      </c>
      <c r="G67" s="178" t="s">
        <v>629</v>
      </c>
      <c r="H67" s="352">
        <f>BE119*100</f>
        <v>26.923076923076927</v>
      </c>
      <c r="I67" s="179"/>
      <c r="J67" s="179"/>
      <c r="K67" s="179" t="str">
        <f t="shared" si="5"/>
        <v>TD(26.9230769230769,26.9230769230769,26.9230769230769)</v>
      </c>
      <c r="L67" s="179" t="s">
        <v>11</v>
      </c>
      <c r="M67" s="179" t="s">
        <v>973</v>
      </c>
      <c r="N67" s="179" t="s">
        <v>975</v>
      </c>
      <c r="O67" s="179"/>
      <c r="P67" s="179"/>
      <c r="Q67" s="179" t="s">
        <v>979</v>
      </c>
      <c r="S67" s="10" t="s">
        <v>948</v>
      </c>
      <c r="T67" t="s">
        <v>950</v>
      </c>
      <c r="U67" t="s">
        <v>949</v>
      </c>
      <c r="V67" t="s">
        <v>951</v>
      </c>
      <c r="W67" s="11" t="str">
        <f t="shared" ref="W67:W76" si="6">_xlfn.CONCAT(S67,T67,MIN(H67:J67),U67,MAX(H67:J67),U67,H67,V67)</f>
        <v>TD(26.9230769230769,26.9230769230769,26.9230769230769)</v>
      </c>
      <c r="AZ67" s="21"/>
      <c r="BB67" s="206" t="s">
        <v>607</v>
      </c>
      <c r="BC67" t="s">
        <v>165</v>
      </c>
      <c r="BD67">
        <v>1.5</v>
      </c>
      <c r="BE67" t="s">
        <v>194</v>
      </c>
      <c r="BI67" t="s">
        <v>185</v>
      </c>
    </row>
    <row r="68" spans="6:63" x14ac:dyDescent="0.25">
      <c r="F68" s="179" t="s">
        <v>640</v>
      </c>
      <c r="G68" s="355" t="s">
        <v>974</v>
      </c>
      <c r="H68" s="352">
        <f>BC132*100</f>
        <v>1</v>
      </c>
      <c r="I68" s="179"/>
      <c r="J68" s="179"/>
      <c r="K68" s="179" t="str">
        <f t="shared" si="5"/>
        <v>TD(1,1,1)</v>
      </c>
      <c r="L68" s="179" t="s">
        <v>11</v>
      </c>
      <c r="M68" s="179" t="s">
        <v>969</v>
      </c>
      <c r="N68" s="179" t="s">
        <v>975</v>
      </c>
      <c r="O68" s="179"/>
      <c r="P68" s="179"/>
      <c r="Q68" s="179" t="s">
        <v>979</v>
      </c>
      <c r="S68" s="10" t="s">
        <v>948</v>
      </c>
      <c r="T68" t="s">
        <v>950</v>
      </c>
      <c r="U68" t="s">
        <v>949</v>
      </c>
      <c r="V68" t="s">
        <v>951</v>
      </c>
      <c r="W68" s="11" t="str">
        <f t="shared" si="6"/>
        <v>TD(1,1,1)</v>
      </c>
      <c r="AZ68" s="21"/>
      <c r="BB68" s="206" t="s">
        <v>607</v>
      </c>
      <c r="BC68" t="s">
        <v>192</v>
      </c>
      <c r="BD68">
        <v>20.2</v>
      </c>
      <c r="BE68" t="s">
        <v>194</v>
      </c>
      <c r="BI68" t="s">
        <v>185</v>
      </c>
    </row>
    <row r="69" spans="6:63" x14ac:dyDescent="0.25">
      <c r="F69" s="179" t="s">
        <v>971</v>
      </c>
      <c r="G69" s="355" t="s">
        <v>630</v>
      </c>
      <c r="H69" s="352">
        <f>BC133*100</f>
        <v>84</v>
      </c>
      <c r="I69" s="179"/>
      <c r="J69" s="179"/>
      <c r="K69" s="179" t="str">
        <f t="shared" si="5"/>
        <v>TD(84,84,84)</v>
      </c>
      <c r="L69" s="179" t="s">
        <v>11</v>
      </c>
      <c r="M69" s="179" t="s">
        <v>970</v>
      </c>
      <c r="N69" s="179" t="s">
        <v>975</v>
      </c>
      <c r="O69" s="179"/>
      <c r="P69" s="179"/>
      <c r="Q69" s="179" t="s">
        <v>979</v>
      </c>
      <c r="S69" s="10" t="s">
        <v>948</v>
      </c>
      <c r="T69" t="s">
        <v>950</v>
      </c>
      <c r="U69" t="s">
        <v>949</v>
      </c>
      <c r="V69" t="s">
        <v>951</v>
      </c>
      <c r="W69" s="11" t="str">
        <f t="shared" si="6"/>
        <v>TD(84,84,84)</v>
      </c>
      <c r="AZ69" s="21"/>
      <c r="BB69" s="206" t="s">
        <v>607</v>
      </c>
      <c r="BC69" t="s">
        <v>170</v>
      </c>
      <c r="BD69">
        <v>45.8</v>
      </c>
      <c r="BE69" t="s">
        <v>194</v>
      </c>
      <c r="BI69" t="s">
        <v>185</v>
      </c>
    </row>
    <row r="70" spans="6:63" x14ac:dyDescent="0.25">
      <c r="F70" s="179" t="s">
        <v>972</v>
      </c>
      <c r="G70" s="355" t="s">
        <v>631</v>
      </c>
      <c r="H70" s="352">
        <f>BC134*100</f>
        <v>15</v>
      </c>
      <c r="I70" s="179"/>
      <c r="J70" s="179"/>
      <c r="K70" s="179" t="str">
        <f t="shared" si="5"/>
        <v>TD(15,15,15)</v>
      </c>
      <c r="L70" s="179" t="s">
        <v>11</v>
      </c>
      <c r="M70" s="179" t="s">
        <v>973</v>
      </c>
      <c r="N70" s="179" t="s">
        <v>975</v>
      </c>
      <c r="O70" s="179"/>
      <c r="P70" s="179"/>
      <c r="Q70" s="179" t="s">
        <v>979</v>
      </c>
      <c r="S70" s="10" t="s">
        <v>948</v>
      </c>
      <c r="T70" t="s">
        <v>950</v>
      </c>
      <c r="U70" t="s">
        <v>949</v>
      </c>
      <c r="V70" t="s">
        <v>951</v>
      </c>
      <c r="W70" s="11" t="str">
        <f t="shared" si="6"/>
        <v>TD(15,15,15)</v>
      </c>
      <c r="BB70" s="206" t="s">
        <v>607</v>
      </c>
      <c r="BC70" t="s">
        <v>193</v>
      </c>
      <c r="BD70">
        <v>4.3</v>
      </c>
      <c r="BE70" t="s">
        <v>194</v>
      </c>
      <c r="BI70" t="s">
        <v>185</v>
      </c>
    </row>
    <row r="71" spans="6:63" x14ac:dyDescent="0.25">
      <c r="F71" s="179" t="s">
        <v>976</v>
      </c>
      <c r="G71" s="178" t="s">
        <v>977</v>
      </c>
      <c r="H71" s="352">
        <f>BC160*100</f>
        <v>10</v>
      </c>
      <c r="I71" s="179"/>
      <c r="J71" s="179"/>
      <c r="K71" s="179" t="str">
        <f t="shared" si="5"/>
        <v>TD(10,10,10)</v>
      </c>
      <c r="L71" s="179" t="s">
        <v>11</v>
      </c>
      <c r="M71" s="179" t="s">
        <v>968</v>
      </c>
      <c r="N71" s="179" t="s">
        <v>975</v>
      </c>
      <c r="O71" s="179"/>
      <c r="P71" s="179"/>
      <c r="Q71" s="179" t="s">
        <v>996</v>
      </c>
      <c r="S71" s="10" t="s">
        <v>948</v>
      </c>
      <c r="T71" t="s">
        <v>950</v>
      </c>
      <c r="U71" t="s">
        <v>949</v>
      </c>
      <c r="V71" t="s">
        <v>951</v>
      </c>
      <c r="W71" s="11" t="str">
        <f t="shared" si="6"/>
        <v>TD(10,10,10)</v>
      </c>
      <c r="BB71" s="206" t="s">
        <v>607</v>
      </c>
      <c r="BC71" t="s">
        <v>174</v>
      </c>
      <c r="BD71">
        <v>0.04</v>
      </c>
      <c r="BE71" t="s">
        <v>194</v>
      </c>
      <c r="BI71" t="s">
        <v>185</v>
      </c>
    </row>
    <row r="72" spans="6:63" x14ac:dyDescent="0.25">
      <c r="F72" s="179" t="s">
        <v>978</v>
      </c>
      <c r="G72" s="178" t="s">
        <v>636</v>
      </c>
      <c r="H72" s="352">
        <f>BC163*100</f>
        <v>90</v>
      </c>
      <c r="I72" s="179">
        <v>2</v>
      </c>
      <c r="J72" s="179">
        <v>100</v>
      </c>
      <c r="K72" s="179" t="str">
        <f t="shared" si="5"/>
        <v>TD(2,100,90)</v>
      </c>
      <c r="L72" s="179" t="s">
        <v>11</v>
      </c>
      <c r="M72" s="179" t="s">
        <v>973</v>
      </c>
      <c r="N72" s="179" t="s">
        <v>975</v>
      </c>
      <c r="O72" s="179"/>
      <c r="P72" s="179"/>
      <c r="Q72" s="179" t="s">
        <v>993</v>
      </c>
      <c r="S72" s="10" t="s">
        <v>948</v>
      </c>
      <c r="T72" t="s">
        <v>950</v>
      </c>
      <c r="U72" t="s">
        <v>949</v>
      </c>
      <c r="V72" t="s">
        <v>951</v>
      </c>
      <c r="W72" s="11" t="str">
        <f t="shared" si="6"/>
        <v>TD(2,100,90)</v>
      </c>
      <c r="BC72" t="s">
        <v>176</v>
      </c>
      <c r="BI72" t="s">
        <v>185</v>
      </c>
    </row>
    <row r="73" spans="6:63" x14ac:dyDescent="0.25">
      <c r="F73" s="179" t="s">
        <v>642</v>
      </c>
      <c r="G73" s="178" t="s">
        <v>632</v>
      </c>
      <c r="H73" s="352" t="str">
        <f>BC146</f>
        <v>-</v>
      </c>
      <c r="I73" s="179"/>
      <c r="J73" s="179"/>
      <c r="K73" s="179" t="str">
        <f t="shared" si="5"/>
        <v>TD(0,0,-)</v>
      </c>
      <c r="L73" s="179" t="s">
        <v>11</v>
      </c>
      <c r="M73" s="179" t="s">
        <v>968</v>
      </c>
      <c r="N73" s="179" t="s">
        <v>975</v>
      </c>
      <c r="O73" s="179"/>
      <c r="P73" s="179"/>
      <c r="Q73" s="179" t="s">
        <v>980</v>
      </c>
      <c r="S73" s="10" t="s">
        <v>948</v>
      </c>
      <c r="T73" t="s">
        <v>950</v>
      </c>
      <c r="U73" t="s">
        <v>949</v>
      </c>
      <c r="V73" t="s">
        <v>951</v>
      </c>
      <c r="W73" s="11" t="str">
        <f t="shared" si="6"/>
        <v>TD(0,0,-)</v>
      </c>
    </row>
    <row r="74" spans="6:63" ht="18.75" x14ac:dyDescent="0.3">
      <c r="F74" s="179" t="s">
        <v>641</v>
      </c>
      <c r="G74" s="178" t="s">
        <v>633</v>
      </c>
      <c r="H74" s="352" t="str">
        <f>BC147</f>
        <v>-</v>
      </c>
      <c r="I74" s="179"/>
      <c r="J74" s="179"/>
      <c r="K74" s="179" t="str">
        <f t="shared" si="5"/>
        <v>TD(0,0,-)</v>
      </c>
      <c r="L74" s="179" t="s">
        <v>11</v>
      </c>
      <c r="M74" s="179" t="s">
        <v>969</v>
      </c>
      <c r="N74" s="179" t="s">
        <v>975</v>
      </c>
      <c r="O74" s="179"/>
      <c r="P74" s="179"/>
      <c r="Q74" s="179" t="s">
        <v>980</v>
      </c>
      <c r="S74" s="10" t="s">
        <v>948</v>
      </c>
      <c r="T74" t="s">
        <v>950</v>
      </c>
      <c r="U74" t="s">
        <v>949</v>
      </c>
      <c r="V74" t="s">
        <v>951</v>
      </c>
      <c r="W74" s="11" t="str">
        <f t="shared" si="6"/>
        <v>TD(0,0,-)</v>
      </c>
      <c r="AZ74" s="22" t="s">
        <v>112</v>
      </c>
      <c r="BA74" s="1"/>
      <c r="BB74" s="1"/>
      <c r="BC74" s="1"/>
      <c r="BD74" s="1"/>
      <c r="BE74" s="1"/>
      <c r="BF74" s="1"/>
      <c r="BG74" s="1"/>
      <c r="BH74" s="1"/>
      <c r="BI74" s="1"/>
      <c r="BJ74" s="1"/>
      <c r="BK74" s="1"/>
    </row>
    <row r="75" spans="6:63" x14ac:dyDescent="0.25">
      <c r="F75" s="179" t="s">
        <v>981</v>
      </c>
      <c r="G75" s="178" t="s">
        <v>634</v>
      </c>
      <c r="H75" s="352" t="str">
        <f>BC148</f>
        <v>-</v>
      </c>
      <c r="I75" s="179"/>
      <c r="J75" s="179"/>
      <c r="K75" s="179" t="str">
        <f t="shared" si="5"/>
        <v>TD(0,0,-)</v>
      </c>
      <c r="L75" s="179" t="s">
        <v>11</v>
      </c>
      <c r="M75" s="179" t="s">
        <v>970</v>
      </c>
      <c r="N75" s="179" t="s">
        <v>975</v>
      </c>
      <c r="O75" s="179"/>
      <c r="P75" s="179"/>
      <c r="Q75" s="179" t="s">
        <v>980</v>
      </c>
      <c r="S75" s="10" t="s">
        <v>948</v>
      </c>
      <c r="T75" t="s">
        <v>950</v>
      </c>
      <c r="U75" t="s">
        <v>949</v>
      </c>
      <c r="V75" t="s">
        <v>951</v>
      </c>
      <c r="W75" s="11" t="str">
        <f t="shared" si="6"/>
        <v>TD(0,0,-)</v>
      </c>
    </row>
    <row r="76" spans="6:63" x14ac:dyDescent="0.25">
      <c r="F76" s="179" t="s">
        <v>982</v>
      </c>
      <c r="G76" s="178" t="s">
        <v>635</v>
      </c>
      <c r="H76" s="352">
        <f>BE149*100</f>
        <v>100</v>
      </c>
      <c r="I76" s="179"/>
      <c r="J76" s="179"/>
      <c r="K76" s="179" t="str">
        <f t="shared" si="5"/>
        <v>TD(100,100,100)</v>
      </c>
      <c r="L76" s="179" t="s">
        <v>11</v>
      </c>
      <c r="M76" s="179" t="s">
        <v>973</v>
      </c>
      <c r="N76" s="179" t="s">
        <v>975</v>
      </c>
      <c r="O76" s="179"/>
      <c r="P76" s="179"/>
      <c r="Q76" s="179" t="s">
        <v>980</v>
      </c>
      <c r="S76" s="16" t="s">
        <v>948</v>
      </c>
      <c r="T76" s="1" t="s">
        <v>950</v>
      </c>
      <c r="U76" s="1" t="s">
        <v>949</v>
      </c>
      <c r="V76" s="1" t="s">
        <v>951</v>
      </c>
      <c r="W76" s="12" t="str">
        <f t="shared" si="6"/>
        <v>TD(100,100,100)</v>
      </c>
      <c r="BA76" s="18" t="s">
        <v>120</v>
      </c>
      <c r="BB76" s="1"/>
      <c r="BC76" s="1"/>
      <c r="BD76" s="1"/>
      <c r="BE76" s="1"/>
      <c r="BF76" s="1"/>
      <c r="BG76" s="1"/>
      <c r="BH76" s="1"/>
    </row>
    <row r="77" spans="6:63" x14ac:dyDescent="0.25">
      <c r="BB77" t="s">
        <v>2</v>
      </c>
      <c r="BC77">
        <v>1467</v>
      </c>
      <c r="BD77" t="s">
        <v>89</v>
      </c>
      <c r="BH77" t="s">
        <v>121</v>
      </c>
    </row>
    <row r="78" spans="6:63" x14ac:dyDescent="0.25">
      <c r="BB78" t="s">
        <v>122</v>
      </c>
      <c r="BC78">
        <v>2200</v>
      </c>
      <c r="BD78" t="s">
        <v>89</v>
      </c>
      <c r="BH78" t="s">
        <v>123</v>
      </c>
    </row>
    <row r="81" spans="5:74" x14ac:dyDescent="0.25">
      <c r="AU81" s="412" t="s">
        <v>1111</v>
      </c>
      <c r="AV81" s="413"/>
      <c r="AW81" s="413"/>
      <c r="AX81" s="413"/>
      <c r="AY81" s="413"/>
      <c r="AZ81" s="413"/>
      <c r="BA81" s="413"/>
    </row>
    <row r="82" spans="5:74" x14ac:dyDescent="0.25">
      <c r="E82" s="18" t="s">
        <v>986</v>
      </c>
      <c r="S82" t="s">
        <v>954</v>
      </c>
    </row>
    <row r="83" spans="5:74" x14ac:dyDescent="0.25">
      <c r="F83" s="182" t="s">
        <v>511</v>
      </c>
      <c r="G83" s="182" t="s">
        <v>31</v>
      </c>
      <c r="H83" s="182" t="s">
        <v>407</v>
      </c>
      <c r="I83" s="182" t="s">
        <v>936</v>
      </c>
      <c r="J83" s="182" t="s">
        <v>937</v>
      </c>
      <c r="K83" s="182" t="s">
        <v>408</v>
      </c>
      <c r="L83" s="182" t="s">
        <v>32</v>
      </c>
      <c r="M83" s="182" t="s">
        <v>932</v>
      </c>
      <c r="N83" s="182" t="s">
        <v>938</v>
      </c>
      <c r="O83" s="182" t="s">
        <v>952</v>
      </c>
      <c r="P83" s="182" t="s">
        <v>995</v>
      </c>
      <c r="Q83" s="182" t="s">
        <v>571</v>
      </c>
      <c r="S83" s="182" t="s">
        <v>953</v>
      </c>
      <c r="T83" s="179"/>
      <c r="U83" s="179"/>
      <c r="V83" s="179"/>
      <c r="W83" s="179"/>
    </row>
    <row r="84" spans="5:74" x14ac:dyDescent="0.25">
      <c r="F84" s="179" t="s">
        <v>990</v>
      </c>
      <c r="G84" s="179" t="s">
        <v>988</v>
      </c>
      <c r="H84" s="351">
        <f>'[1]Olsen-P 50'!Q10</f>
        <v>6.7605335147854356E-2</v>
      </c>
      <c r="I84" s="179"/>
      <c r="J84" s="179"/>
      <c r="K84" s="179" t="str">
        <f>W84</f>
        <v>TD(0.0676053351478544,0.0676053351478544,0.0676053351478544)</v>
      </c>
      <c r="L84" s="179"/>
      <c r="M84" s="179"/>
      <c r="N84" s="179" t="s">
        <v>989</v>
      </c>
      <c r="O84" s="179"/>
      <c r="P84" s="179"/>
      <c r="Q84" s="179"/>
      <c r="S84" s="179" t="s">
        <v>948</v>
      </c>
      <c r="T84" s="179" t="s">
        <v>950</v>
      </c>
      <c r="U84" s="179" t="s">
        <v>949</v>
      </c>
      <c r="V84" s="179" t="s">
        <v>951</v>
      </c>
      <c r="W84" s="179" t="str">
        <f>_xlfn.CONCAT(S84,T84,MIN(H84:J84),U84,MAX(H84:J84),U84,H84,V84)</f>
        <v>TD(0.0676053351478544,0.0676053351478544,0.0676053351478544)</v>
      </c>
      <c r="AW84" t="s">
        <v>1112</v>
      </c>
    </row>
    <row r="85" spans="5:74" ht="49.5" x14ac:dyDescent="0.25">
      <c r="F85" s="179" t="s">
        <v>991</v>
      </c>
      <c r="G85" s="178" t="s">
        <v>853</v>
      </c>
      <c r="H85" s="352">
        <v>0.45</v>
      </c>
      <c r="I85" s="179"/>
      <c r="J85" s="179"/>
      <c r="K85" s="179" t="str">
        <f>W85</f>
        <v>TD(0.45,0.45,0.45)</v>
      </c>
      <c r="L85" s="179"/>
      <c r="M85" s="179"/>
      <c r="N85" s="179" t="s">
        <v>994</v>
      </c>
      <c r="O85" s="179"/>
      <c r="P85" s="179"/>
      <c r="Q85" s="179"/>
      <c r="S85" s="179" t="s">
        <v>948</v>
      </c>
      <c r="T85" s="179" t="s">
        <v>950</v>
      </c>
      <c r="U85" s="179" t="s">
        <v>949</v>
      </c>
      <c r="V85" s="179" t="s">
        <v>951</v>
      </c>
      <c r="W85" s="179" t="str">
        <f>_xlfn.CONCAT(S85,T85,MIN(H85:J85),U85,MAX(H85:J85),U85,H85,V85)</f>
        <v>TD(0.45,0.45,0.45)</v>
      </c>
      <c r="AY85" s="337" t="s">
        <v>132</v>
      </c>
      <c r="AZ85" s="337" t="s">
        <v>351</v>
      </c>
      <c r="BA85" s="346" t="s">
        <v>899</v>
      </c>
      <c r="BB85" s="346"/>
      <c r="BC85" s="346" t="s">
        <v>902</v>
      </c>
      <c r="BD85" s="346"/>
      <c r="BE85" s="338" t="s">
        <v>905</v>
      </c>
      <c r="BF85" s="338" t="s">
        <v>907</v>
      </c>
      <c r="BG85" s="339" t="s">
        <v>908</v>
      </c>
      <c r="BH85" s="346" t="s">
        <v>899</v>
      </c>
      <c r="BI85" s="346"/>
      <c r="BJ85" s="346" t="s">
        <v>902</v>
      </c>
      <c r="BK85" s="346"/>
      <c r="BL85" s="338"/>
      <c r="BM85" s="337" t="s">
        <v>351</v>
      </c>
      <c r="BP85" s="346" t="s">
        <v>899</v>
      </c>
      <c r="BQ85" s="346"/>
      <c r="BS85" s="346" t="s">
        <v>902</v>
      </c>
      <c r="BU85" s="346"/>
      <c r="BV85" s="179" t="s">
        <v>909</v>
      </c>
    </row>
    <row r="86" spans="5:74" ht="28.7" customHeight="1" x14ac:dyDescent="0.25">
      <c r="G86" s="187"/>
      <c r="H86" s="221"/>
      <c r="AY86" s="337" t="s">
        <v>511</v>
      </c>
      <c r="AZ86" s="337" t="s">
        <v>351</v>
      </c>
      <c r="BA86" s="337" t="s">
        <v>900</v>
      </c>
      <c r="BB86" s="337" t="s">
        <v>901</v>
      </c>
      <c r="BC86" s="337" t="s">
        <v>903</v>
      </c>
      <c r="BD86" s="337" t="s">
        <v>904</v>
      </c>
      <c r="BE86" s="338" t="s">
        <v>906</v>
      </c>
      <c r="BF86" s="338" t="s">
        <v>904</v>
      </c>
      <c r="BG86" s="339"/>
      <c r="BH86" s="337" t="s">
        <v>900</v>
      </c>
      <c r="BI86" s="337" t="s">
        <v>901</v>
      </c>
      <c r="BJ86" s="337" t="s">
        <v>903</v>
      </c>
      <c r="BK86" s="337" t="s">
        <v>904</v>
      </c>
      <c r="BL86" s="338"/>
      <c r="BM86" s="337" t="s">
        <v>351</v>
      </c>
      <c r="BO86" s="337" t="s">
        <v>511</v>
      </c>
      <c r="BP86" s="337" t="s">
        <v>900</v>
      </c>
      <c r="BQ86" s="337" t="s">
        <v>901</v>
      </c>
      <c r="BS86" s="337" t="s">
        <v>903</v>
      </c>
      <c r="BU86" s="337" t="s">
        <v>904</v>
      </c>
      <c r="BV86" s="179"/>
    </row>
    <row r="87" spans="5:74" ht="29.45" customHeight="1" x14ac:dyDescent="0.25">
      <c r="AY87" s="340" t="s">
        <v>911</v>
      </c>
      <c r="AZ87" s="337">
        <v>1000</v>
      </c>
      <c r="BA87" s="337">
        <v>763.1</v>
      </c>
      <c r="BB87" s="337">
        <v>236.9</v>
      </c>
      <c r="BC87" s="337">
        <v>113.4</v>
      </c>
      <c r="BD87" s="337">
        <v>123.4</v>
      </c>
      <c r="BE87" s="338">
        <v>128.80000000000001</v>
      </c>
      <c r="BF87" s="338">
        <v>123.4</v>
      </c>
      <c r="BG87" s="339"/>
      <c r="BH87" s="341">
        <f t="shared" ref="BH87:BH99" si="7">BA87/AZ87</f>
        <v>0.7631</v>
      </c>
      <c r="BI87" s="341">
        <f t="shared" ref="BI87:BI99" si="8">BB87/AZ87</f>
        <v>0.2369</v>
      </c>
      <c r="BJ87" s="341">
        <f>BC87/$BB$87</f>
        <v>0.47868298860278602</v>
      </c>
      <c r="BK87" s="341">
        <f>BD87/$BB$87</f>
        <v>0.52089489235964548</v>
      </c>
      <c r="BL87" s="338"/>
      <c r="BM87" s="337">
        <v>1000</v>
      </c>
      <c r="BO87" s="340" t="s">
        <v>911</v>
      </c>
      <c r="BP87" s="347">
        <f t="shared" ref="BP87:BP99" si="9">BA87/AZ87*100</f>
        <v>76.31</v>
      </c>
      <c r="BQ87" s="341"/>
      <c r="BS87" s="347">
        <f t="shared" ref="BS87:BS99" si="10">BC87/AZ87*100</f>
        <v>11.34</v>
      </c>
      <c r="BU87" s="347">
        <f t="shared" ref="BU87:BU99" si="11">BD87/AZ87*100</f>
        <v>12.340000000000002</v>
      </c>
      <c r="BV87" s="351">
        <f t="shared" ref="BV87:BV99" si="12">SUM(BP87:BU87)</f>
        <v>99.990000000000009</v>
      </c>
    </row>
    <row r="88" spans="5:74" ht="29.45" customHeight="1" x14ac:dyDescent="0.25">
      <c r="AY88" s="340" t="s">
        <v>888</v>
      </c>
      <c r="AZ88" s="337">
        <v>240</v>
      </c>
      <c r="BA88" s="337">
        <v>3.1</v>
      </c>
      <c r="BB88" s="337">
        <v>236.9</v>
      </c>
      <c r="BC88" s="337">
        <v>113.4</v>
      </c>
      <c r="BD88" s="337">
        <v>123.4</v>
      </c>
      <c r="BE88" s="338">
        <v>128.80000000000001</v>
      </c>
      <c r="BF88" s="338">
        <v>123.4</v>
      </c>
      <c r="BG88" s="339"/>
      <c r="BH88" s="341">
        <f t="shared" si="7"/>
        <v>1.2916666666666667E-2</v>
      </c>
      <c r="BI88" s="341">
        <f t="shared" si="8"/>
        <v>0.98708333333333331</v>
      </c>
      <c r="BJ88" s="341">
        <f>BC88/$BB$88</f>
        <v>0.47868298860278602</v>
      </c>
      <c r="BK88" s="341">
        <f>BD88/$BB$88</f>
        <v>0.52089489235964548</v>
      </c>
      <c r="BL88" s="338"/>
      <c r="BM88" s="337">
        <v>240</v>
      </c>
      <c r="BO88" s="340" t="s">
        <v>888</v>
      </c>
      <c r="BP88" s="347">
        <f t="shared" si="9"/>
        <v>1.2916666666666667</v>
      </c>
      <c r="BQ88" s="341"/>
      <c r="BS88" s="347">
        <f t="shared" si="10"/>
        <v>47.25</v>
      </c>
      <c r="BU88" s="347">
        <f t="shared" si="11"/>
        <v>51.416666666666664</v>
      </c>
      <c r="BV88" s="351">
        <f t="shared" si="12"/>
        <v>99.958333333333329</v>
      </c>
    </row>
    <row r="89" spans="5:74" ht="29.45" customHeight="1" x14ac:dyDescent="0.25">
      <c r="G89" s="187"/>
      <c r="H89" s="221"/>
      <c r="AY89" s="340" t="s">
        <v>889</v>
      </c>
      <c r="AZ89" s="337">
        <v>760</v>
      </c>
      <c r="BA89" s="337">
        <v>760</v>
      </c>
      <c r="BB89" s="337">
        <v>0</v>
      </c>
      <c r="BC89" s="337">
        <v>0</v>
      </c>
      <c r="BD89" s="337">
        <v>0</v>
      </c>
      <c r="BE89" s="338">
        <v>0</v>
      </c>
      <c r="BF89" s="338">
        <v>0</v>
      </c>
      <c r="BG89" s="339"/>
      <c r="BH89" s="341">
        <f t="shared" si="7"/>
        <v>1</v>
      </c>
      <c r="BI89" s="341">
        <f t="shared" si="8"/>
        <v>0</v>
      </c>
      <c r="BJ89" s="341" t="e">
        <f t="shared" ref="BJ89:BJ99" si="13">BC89/BB89</f>
        <v>#DIV/0!</v>
      </c>
      <c r="BK89" s="341" t="e">
        <f t="shared" ref="BK89:BK99" si="14">BD89/BB89</f>
        <v>#DIV/0!</v>
      </c>
      <c r="BL89" s="338"/>
      <c r="BM89" s="337">
        <v>760</v>
      </c>
      <c r="BO89" s="340" t="s">
        <v>889</v>
      </c>
      <c r="BP89" s="347">
        <f t="shared" si="9"/>
        <v>100</v>
      </c>
      <c r="BQ89" s="341"/>
      <c r="BR89" t="s">
        <v>910</v>
      </c>
      <c r="BS89" s="347">
        <f t="shared" si="10"/>
        <v>0</v>
      </c>
      <c r="BT89" t="s">
        <v>912</v>
      </c>
      <c r="BU89" s="347">
        <f t="shared" si="11"/>
        <v>0</v>
      </c>
      <c r="BV89" s="351">
        <f t="shared" si="12"/>
        <v>100</v>
      </c>
    </row>
    <row r="90" spans="5:74" ht="16.5" x14ac:dyDescent="0.25">
      <c r="G90" s="187"/>
      <c r="H90" s="221"/>
      <c r="AY90" s="340" t="s">
        <v>890</v>
      </c>
      <c r="AZ90" s="337">
        <v>151.30000000000001</v>
      </c>
      <c r="BA90" s="337">
        <v>3.1</v>
      </c>
      <c r="BB90" s="337">
        <v>148.1</v>
      </c>
      <c r="BC90" s="337">
        <v>111</v>
      </c>
      <c r="BD90" s="337">
        <v>37.200000000000003</v>
      </c>
      <c r="BE90" s="338">
        <v>126.3</v>
      </c>
      <c r="BF90" s="338">
        <v>37.200000000000003</v>
      </c>
      <c r="BG90" s="339"/>
      <c r="BH90" s="341">
        <f t="shared" si="7"/>
        <v>2.0489094514210177E-2</v>
      </c>
      <c r="BI90" s="341">
        <f t="shared" si="8"/>
        <v>0.97884996695307325</v>
      </c>
      <c r="BJ90" s="341">
        <f t="shared" si="13"/>
        <v>0.74949358541526001</v>
      </c>
      <c r="BK90" s="341">
        <f t="shared" si="14"/>
        <v>0.25118163403106014</v>
      </c>
      <c r="BL90" s="338"/>
      <c r="BM90" s="337">
        <v>151.30000000000001</v>
      </c>
      <c r="BO90" s="340" t="s">
        <v>890</v>
      </c>
      <c r="BP90" s="347">
        <f t="shared" si="9"/>
        <v>2.0489094514210175</v>
      </c>
      <c r="BQ90" s="341"/>
      <c r="BR90" t="s">
        <v>918</v>
      </c>
      <c r="BS90" s="347">
        <f t="shared" si="10"/>
        <v>73.364177131526759</v>
      </c>
      <c r="BT90" t="s">
        <v>913</v>
      </c>
      <c r="BU90" s="347">
        <f t="shared" si="11"/>
        <v>24.586913417052216</v>
      </c>
      <c r="BV90" s="351">
        <f t="shared" si="12"/>
        <v>99.999999999999986</v>
      </c>
    </row>
    <row r="91" spans="5:74" ht="29.45" customHeight="1" x14ac:dyDescent="0.25">
      <c r="G91" s="187"/>
      <c r="H91" s="221"/>
      <c r="AY91" s="340" t="s">
        <v>891</v>
      </c>
      <c r="AZ91" s="337">
        <v>88.7</v>
      </c>
      <c r="BA91" s="337">
        <v>0</v>
      </c>
      <c r="BB91" s="337">
        <v>88.7</v>
      </c>
      <c r="BC91" s="337">
        <v>2.5</v>
      </c>
      <c r="BD91" s="337">
        <v>86.3</v>
      </c>
      <c r="BE91" s="338">
        <v>2.5</v>
      </c>
      <c r="BF91" s="338">
        <v>86.3</v>
      </c>
      <c r="BG91" s="339"/>
      <c r="BH91" s="341">
        <f t="shared" si="7"/>
        <v>0</v>
      </c>
      <c r="BI91" s="341">
        <f t="shared" si="8"/>
        <v>1</v>
      </c>
      <c r="BJ91" s="341">
        <f t="shared" si="13"/>
        <v>2.8184892897406989E-2</v>
      </c>
      <c r="BK91" s="341">
        <f t="shared" si="14"/>
        <v>0.97294250281848926</v>
      </c>
      <c r="BL91" s="338"/>
      <c r="BM91" s="337">
        <v>88.7</v>
      </c>
      <c r="BO91" s="340" t="s">
        <v>891</v>
      </c>
      <c r="BP91" s="347">
        <f t="shared" si="9"/>
        <v>0</v>
      </c>
      <c r="BQ91" s="341"/>
      <c r="BR91" t="s">
        <v>919</v>
      </c>
      <c r="BS91" s="347">
        <f t="shared" si="10"/>
        <v>2.818489289740699</v>
      </c>
      <c r="BT91" t="s">
        <v>914</v>
      </c>
      <c r="BU91" s="347">
        <f t="shared" si="11"/>
        <v>97.294250281848932</v>
      </c>
      <c r="BV91" s="351">
        <f t="shared" si="12"/>
        <v>100.11273957158963</v>
      </c>
    </row>
    <row r="92" spans="5:74" ht="15" customHeight="1" x14ac:dyDescent="0.25">
      <c r="G92" s="187"/>
      <c r="H92" s="221"/>
      <c r="AY92" s="342" t="s">
        <v>85</v>
      </c>
      <c r="AZ92" s="343">
        <v>3024</v>
      </c>
      <c r="BA92" s="337">
        <v>0</v>
      </c>
      <c r="BB92" s="343">
        <v>3024</v>
      </c>
      <c r="BC92" s="343">
        <v>1743</v>
      </c>
      <c r="BD92" s="343">
        <v>1282</v>
      </c>
      <c r="BE92" s="344">
        <v>2448</v>
      </c>
      <c r="BF92" s="344">
        <v>1282</v>
      </c>
      <c r="BG92" s="345"/>
      <c r="BH92" s="341">
        <f t="shared" si="7"/>
        <v>0</v>
      </c>
      <c r="BI92" s="341">
        <f t="shared" si="8"/>
        <v>1</v>
      </c>
      <c r="BJ92" s="341">
        <f t="shared" si="13"/>
        <v>0.57638888888888884</v>
      </c>
      <c r="BK92" s="341">
        <f t="shared" si="14"/>
        <v>0.42394179894179895</v>
      </c>
      <c r="BL92" s="344"/>
      <c r="BM92" s="343">
        <v>3024</v>
      </c>
      <c r="BO92" s="342" t="s">
        <v>85</v>
      </c>
      <c r="BP92" s="347">
        <f t="shared" si="9"/>
        <v>0</v>
      </c>
      <c r="BQ92" s="341"/>
      <c r="BR92" t="s">
        <v>920</v>
      </c>
      <c r="BS92" s="347">
        <f t="shared" si="10"/>
        <v>57.638888888888886</v>
      </c>
      <c r="BT92" t="s">
        <v>915</v>
      </c>
      <c r="BU92" s="347">
        <f t="shared" si="11"/>
        <v>42.394179894179892</v>
      </c>
      <c r="BV92" s="351">
        <f t="shared" si="12"/>
        <v>100.03306878306879</v>
      </c>
    </row>
    <row r="93" spans="5:74" ht="16.5" x14ac:dyDescent="0.25">
      <c r="AY93" s="337" t="s">
        <v>892</v>
      </c>
      <c r="AZ93" s="337">
        <v>60.9</v>
      </c>
      <c r="BA93" s="337">
        <v>0</v>
      </c>
      <c r="BB93" s="337">
        <v>60.9</v>
      </c>
      <c r="BC93" s="337">
        <v>34.1</v>
      </c>
      <c r="BD93" s="337">
        <v>26.9</v>
      </c>
      <c r="BE93" s="338">
        <v>34.1</v>
      </c>
      <c r="BF93" s="338">
        <v>26.9</v>
      </c>
      <c r="BG93" s="339"/>
      <c r="BH93" s="341">
        <f t="shared" si="7"/>
        <v>0</v>
      </c>
      <c r="BI93" s="341">
        <f t="shared" si="8"/>
        <v>1</v>
      </c>
      <c r="BJ93" s="341">
        <f t="shared" si="13"/>
        <v>0.55993431855500819</v>
      </c>
      <c r="BK93" s="341">
        <f t="shared" si="14"/>
        <v>0.4417077175697865</v>
      </c>
      <c r="BL93" s="338"/>
      <c r="BM93" s="337">
        <v>60.9</v>
      </c>
      <c r="BO93" s="337" t="s">
        <v>892</v>
      </c>
      <c r="BP93" s="347">
        <f t="shared" si="9"/>
        <v>0</v>
      </c>
      <c r="BQ93" s="341"/>
      <c r="BS93" s="347">
        <f t="shared" si="10"/>
        <v>55.993431855500816</v>
      </c>
      <c r="BU93" s="347">
        <f t="shared" si="11"/>
        <v>44.170771756978652</v>
      </c>
      <c r="BV93" s="351">
        <f t="shared" si="12"/>
        <v>100.16420361247947</v>
      </c>
    </row>
    <row r="94" spans="5:74" ht="29.45" customHeight="1" x14ac:dyDescent="0.25">
      <c r="AY94" s="337" t="s">
        <v>893</v>
      </c>
      <c r="AZ94" s="337">
        <v>11.1</v>
      </c>
      <c r="BA94" s="337">
        <v>0</v>
      </c>
      <c r="BB94" s="337">
        <v>11.1</v>
      </c>
      <c r="BC94" s="337">
        <v>6.2</v>
      </c>
      <c r="BD94" s="337">
        <v>4.9000000000000004</v>
      </c>
      <c r="BE94" s="338">
        <v>18.3</v>
      </c>
      <c r="BF94" s="338">
        <v>4.9000000000000004</v>
      </c>
      <c r="BG94" s="339"/>
      <c r="BH94" s="341">
        <f t="shared" si="7"/>
        <v>0</v>
      </c>
      <c r="BI94" s="341">
        <f t="shared" si="8"/>
        <v>1</v>
      </c>
      <c r="BJ94" s="341">
        <f t="shared" si="13"/>
        <v>0.55855855855855863</v>
      </c>
      <c r="BK94" s="341">
        <f t="shared" si="14"/>
        <v>0.44144144144144148</v>
      </c>
      <c r="BL94" s="338"/>
      <c r="BM94" s="337">
        <v>11.1</v>
      </c>
      <c r="BO94" s="337" t="s">
        <v>893</v>
      </c>
      <c r="BP94" s="347">
        <f t="shared" si="9"/>
        <v>0</v>
      </c>
      <c r="BQ94" s="341"/>
      <c r="BS94" s="347">
        <f t="shared" si="10"/>
        <v>55.855855855855864</v>
      </c>
      <c r="BU94" s="347">
        <f t="shared" si="11"/>
        <v>44.14414414414415</v>
      </c>
      <c r="BV94" s="351">
        <f t="shared" si="12"/>
        <v>100.00000000000001</v>
      </c>
    </row>
    <row r="95" spans="5:74" ht="29.45" customHeight="1" x14ac:dyDescent="0.25">
      <c r="AY95" s="339" t="s">
        <v>894</v>
      </c>
      <c r="AZ95" s="337">
        <v>10.199999999999999</v>
      </c>
      <c r="BA95" s="337">
        <v>0.1</v>
      </c>
      <c r="BB95" s="337">
        <v>10.1</v>
      </c>
      <c r="BC95" s="337">
        <v>4.4000000000000004</v>
      </c>
      <c r="BD95" s="337">
        <v>5.6</v>
      </c>
      <c r="BE95" s="338">
        <v>4.4000000000000004</v>
      </c>
      <c r="BF95" s="338">
        <v>5.6</v>
      </c>
      <c r="BG95" s="339"/>
      <c r="BH95" s="341">
        <f t="shared" si="7"/>
        <v>9.8039215686274526E-3</v>
      </c>
      <c r="BI95" s="341">
        <f t="shared" si="8"/>
        <v>0.99019607843137258</v>
      </c>
      <c r="BJ95" s="341">
        <f t="shared" si="13"/>
        <v>0.4356435643564357</v>
      </c>
      <c r="BK95" s="341">
        <f t="shared" si="14"/>
        <v>0.55445544554455439</v>
      </c>
      <c r="BL95" s="338"/>
      <c r="BM95" s="337">
        <v>10.199999999999999</v>
      </c>
      <c r="BO95" s="339" t="s">
        <v>894</v>
      </c>
      <c r="BP95" s="347">
        <f t="shared" si="9"/>
        <v>0.98039215686274528</v>
      </c>
      <c r="BQ95" s="341"/>
      <c r="BR95" t="s">
        <v>921</v>
      </c>
      <c r="BS95" s="347">
        <f t="shared" si="10"/>
        <v>43.137254901960794</v>
      </c>
      <c r="BT95" t="s">
        <v>916</v>
      </c>
      <c r="BU95" s="347">
        <f t="shared" si="11"/>
        <v>54.901960784313729</v>
      </c>
      <c r="BV95" s="351">
        <f t="shared" si="12"/>
        <v>99.019607843137265</v>
      </c>
    </row>
    <row r="96" spans="5:74" ht="29.45" customHeight="1" x14ac:dyDescent="0.25">
      <c r="AY96" s="339" t="s">
        <v>895</v>
      </c>
      <c r="AZ96" s="337">
        <v>0.7</v>
      </c>
      <c r="BA96" s="337">
        <v>0</v>
      </c>
      <c r="BB96" s="337">
        <v>0.7</v>
      </c>
      <c r="BC96" s="337">
        <v>0.5</v>
      </c>
      <c r="BD96" s="337">
        <v>0.2</v>
      </c>
      <c r="BE96" s="338">
        <v>0.5</v>
      </c>
      <c r="BF96" s="338">
        <v>0.2</v>
      </c>
      <c r="BG96" s="339"/>
      <c r="BH96" s="341">
        <f t="shared" si="7"/>
        <v>0</v>
      </c>
      <c r="BI96" s="341">
        <f t="shared" si="8"/>
        <v>1</v>
      </c>
      <c r="BJ96" s="341">
        <f t="shared" si="13"/>
        <v>0.7142857142857143</v>
      </c>
      <c r="BK96" s="341">
        <f t="shared" si="14"/>
        <v>0.28571428571428575</v>
      </c>
      <c r="BL96" s="338"/>
      <c r="BM96" s="337">
        <v>0.7</v>
      </c>
      <c r="BO96" s="339" t="s">
        <v>895</v>
      </c>
      <c r="BP96" s="347">
        <f t="shared" si="9"/>
        <v>0</v>
      </c>
      <c r="BQ96" s="341"/>
      <c r="BR96" t="s">
        <v>917</v>
      </c>
      <c r="BS96" s="347">
        <f t="shared" si="10"/>
        <v>71.428571428571431</v>
      </c>
      <c r="BT96" t="s">
        <v>922</v>
      </c>
      <c r="BU96" s="347">
        <f t="shared" si="11"/>
        <v>28.571428571428577</v>
      </c>
      <c r="BV96" s="351">
        <f t="shared" si="12"/>
        <v>100</v>
      </c>
    </row>
    <row r="97" spans="49:75" ht="16.5" x14ac:dyDescent="0.25">
      <c r="AY97" s="337" t="s">
        <v>896</v>
      </c>
      <c r="AZ97" s="337">
        <v>14.4</v>
      </c>
      <c r="BA97" s="337">
        <v>1.3</v>
      </c>
      <c r="BB97" s="337">
        <v>13.1</v>
      </c>
      <c r="BC97" s="337">
        <v>9.1999999999999993</v>
      </c>
      <c r="BD97" s="337">
        <v>3.8</v>
      </c>
      <c r="BE97" s="338">
        <v>9.1999999999999993</v>
      </c>
      <c r="BF97" s="338">
        <v>3.8</v>
      </c>
      <c r="BG97" s="339"/>
      <c r="BH97" s="341">
        <f t="shared" si="7"/>
        <v>9.0277777777777776E-2</v>
      </c>
      <c r="BI97" s="341">
        <f t="shared" si="8"/>
        <v>0.90972222222222221</v>
      </c>
      <c r="BJ97" s="341">
        <f t="shared" si="13"/>
        <v>0.70229007633587781</v>
      </c>
      <c r="BK97" s="341">
        <f t="shared" si="14"/>
        <v>0.29007633587786258</v>
      </c>
      <c r="BL97" s="338"/>
      <c r="BM97" s="337">
        <v>14.4</v>
      </c>
      <c r="BO97" s="337" t="s">
        <v>896</v>
      </c>
      <c r="BP97" s="347">
        <f t="shared" si="9"/>
        <v>9.0277777777777768</v>
      </c>
      <c r="BQ97" s="341"/>
      <c r="BS97" s="347">
        <f t="shared" si="10"/>
        <v>63.888888888888886</v>
      </c>
      <c r="BU97" s="347">
        <f t="shared" si="11"/>
        <v>26.388888888888889</v>
      </c>
      <c r="BV97" s="351">
        <f t="shared" si="12"/>
        <v>99.305555555555543</v>
      </c>
      <c r="BW97" t="s">
        <v>1109</v>
      </c>
    </row>
    <row r="98" spans="49:75" ht="15" customHeight="1" x14ac:dyDescent="0.25">
      <c r="AY98" s="337" t="s">
        <v>897</v>
      </c>
      <c r="AZ98" s="337">
        <v>5.4</v>
      </c>
      <c r="BA98" s="337">
        <v>0</v>
      </c>
      <c r="BB98" s="337">
        <v>5.4</v>
      </c>
      <c r="BC98" s="337">
        <v>0.7</v>
      </c>
      <c r="BD98" s="337">
        <v>4.8</v>
      </c>
      <c r="BE98" s="338">
        <v>0.7</v>
      </c>
      <c r="BF98" s="338">
        <v>4.8</v>
      </c>
      <c r="BG98" s="339"/>
      <c r="BH98" s="341">
        <f t="shared" si="7"/>
        <v>0</v>
      </c>
      <c r="BI98" s="341">
        <f t="shared" si="8"/>
        <v>1</v>
      </c>
      <c r="BJ98" s="341">
        <f t="shared" si="13"/>
        <v>0.12962962962962962</v>
      </c>
      <c r="BK98" s="341">
        <f t="shared" si="14"/>
        <v>0.88888888888888884</v>
      </c>
      <c r="BL98" s="338"/>
      <c r="BM98" s="337">
        <v>5.4</v>
      </c>
      <c r="BO98" s="337" t="s">
        <v>897</v>
      </c>
      <c r="BP98" s="347">
        <f t="shared" si="9"/>
        <v>0</v>
      </c>
      <c r="BQ98" s="341"/>
      <c r="BS98" s="347">
        <f t="shared" si="10"/>
        <v>12.962962962962962</v>
      </c>
      <c r="BU98" s="347">
        <f t="shared" si="11"/>
        <v>88.888888888888886</v>
      </c>
      <c r="BV98" s="351">
        <f t="shared" si="12"/>
        <v>101.85185185185185</v>
      </c>
    </row>
    <row r="99" spans="49:75" ht="16.5" x14ac:dyDescent="0.25">
      <c r="AY99" s="340" t="s">
        <v>898</v>
      </c>
      <c r="AZ99" s="337">
        <v>1.6</v>
      </c>
      <c r="BA99" s="337">
        <v>0</v>
      </c>
      <c r="BB99" s="337">
        <v>1.6</v>
      </c>
      <c r="BC99" s="337">
        <v>0.7</v>
      </c>
      <c r="BD99" s="337">
        <v>0.9</v>
      </c>
      <c r="BE99" s="338">
        <v>0.7</v>
      </c>
      <c r="BF99" s="338">
        <v>0.9</v>
      </c>
      <c r="BG99" s="339"/>
      <c r="BH99" s="341">
        <f t="shared" si="7"/>
        <v>0</v>
      </c>
      <c r="BI99" s="341">
        <f t="shared" si="8"/>
        <v>1</v>
      </c>
      <c r="BJ99" s="341">
        <f t="shared" si="13"/>
        <v>0.43749999999999994</v>
      </c>
      <c r="BK99" s="341">
        <f t="shared" si="14"/>
        <v>0.5625</v>
      </c>
      <c r="BL99" s="338"/>
      <c r="BM99" s="337">
        <v>1.6</v>
      </c>
      <c r="BO99" s="340" t="s">
        <v>898</v>
      </c>
      <c r="BP99" s="347">
        <f t="shared" si="9"/>
        <v>0</v>
      </c>
      <c r="BQ99" s="341"/>
      <c r="BS99" s="347">
        <f t="shared" si="10"/>
        <v>43.749999999999993</v>
      </c>
      <c r="BU99" s="347">
        <f t="shared" si="11"/>
        <v>56.25</v>
      </c>
      <c r="BV99" s="351">
        <f t="shared" si="12"/>
        <v>100</v>
      </c>
    </row>
    <row r="101" spans="49:75" ht="14.45" customHeight="1" x14ac:dyDescent="0.25"/>
    <row r="106" spans="49:75" ht="15.75" x14ac:dyDescent="0.25">
      <c r="AW106" s="50" t="s">
        <v>227</v>
      </c>
      <c r="AX106" s="1"/>
      <c r="AY106" s="1"/>
      <c r="AZ106" s="1"/>
      <c r="BA106" s="1"/>
      <c r="BB106" s="1"/>
      <c r="BC106" s="1"/>
      <c r="BD106" s="1"/>
      <c r="BE106" s="1"/>
      <c r="BF106" s="1"/>
      <c r="BG106" s="1"/>
      <c r="BH106" s="1"/>
    </row>
    <row r="108" spans="49:75" ht="15.75" thickBot="1" x14ac:dyDescent="0.3">
      <c r="AY108" s="44" t="s">
        <v>216</v>
      </c>
    </row>
    <row r="109" spans="49:75" ht="15.75" thickBot="1" x14ac:dyDescent="0.3">
      <c r="AZ109" s="27" t="s">
        <v>41</v>
      </c>
      <c r="BA109" s="28"/>
      <c r="BB109" s="43" t="s">
        <v>202</v>
      </c>
      <c r="BC109" s="43"/>
      <c r="BD109" s="28"/>
      <c r="BE109" s="179" t="s">
        <v>1025</v>
      </c>
      <c r="BF109" s="179" t="s">
        <v>1026</v>
      </c>
    </row>
    <row r="110" spans="49:75" ht="15.75" thickBot="1" x14ac:dyDescent="0.3">
      <c r="AZ110" s="30"/>
      <c r="BA110" s="31" t="s">
        <v>203</v>
      </c>
      <c r="BB110" s="31" t="s">
        <v>204</v>
      </c>
      <c r="BC110" s="193" t="s">
        <v>205</v>
      </c>
      <c r="BD110" s="366" t="s">
        <v>206</v>
      </c>
      <c r="BE110" s="179"/>
      <c r="BF110" s="179"/>
    </row>
    <row r="111" spans="49:75" ht="45.75" thickBot="1" x14ac:dyDescent="0.3">
      <c r="AZ111" s="30" t="s">
        <v>207</v>
      </c>
      <c r="BA111" s="33" t="s">
        <v>39</v>
      </c>
      <c r="BB111" s="33" t="s">
        <v>39</v>
      </c>
      <c r="BC111" s="194">
        <v>0.09</v>
      </c>
      <c r="BD111" s="367">
        <v>0.09</v>
      </c>
      <c r="BE111" s="179"/>
      <c r="BF111" s="179"/>
    </row>
    <row r="112" spans="49:75" ht="60.75" thickBot="1" x14ac:dyDescent="0.3">
      <c r="AZ112" s="30" t="s">
        <v>208</v>
      </c>
      <c r="BA112" s="33" t="s">
        <v>39</v>
      </c>
      <c r="BB112" s="33" t="s">
        <v>39</v>
      </c>
      <c r="BC112" s="198">
        <v>0.26</v>
      </c>
      <c r="BD112" s="367">
        <v>0.23</v>
      </c>
      <c r="BE112" s="179"/>
      <c r="BF112" s="179"/>
    </row>
    <row r="113" spans="51:58" ht="75.75" thickBot="1" x14ac:dyDescent="0.3">
      <c r="AZ113" s="30" t="s">
        <v>209</v>
      </c>
      <c r="BA113" s="33" t="s">
        <v>39</v>
      </c>
      <c r="BB113" s="35">
        <v>1</v>
      </c>
      <c r="BC113" s="194">
        <v>0.65</v>
      </c>
      <c r="BD113" s="367">
        <v>0.68</v>
      </c>
      <c r="BE113" s="179"/>
      <c r="BF113" s="179"/>
    </row>
    <row r="114" spans="51:58" ht="75.75" thickBot="1" x14ac:dyDescent="0.3">
      <c r="AZ114" s="30" t="s">
        <v>210</v>
      </c>
      <c r="BA114" s="36">
        <v>8.0000000000000002E-3</v>
      </c>
      <c r="BB114" s="33" t="s">
        <v>39</v>
      </c>
      <c r="BC114" s="195" t="s">
        <v>39</v>
      </c>
      <c r="BD114" s="368" t="s">
        <v>39</v>
      </c>
      <c r="BE114" s="179"/>
      <c r="BF114" s="179"/>
    </row>
    <row r="115" spans="51:58" ht="60.75" thickBot="1" x14ac:dyDescent="0.3">
      <c r="AZ115" s="37" t="s">
        <v>211</v>
      </c>
      <c r="BA115" s="38">
        <v>0.99</v>
      </c>
      <c r="BB115" s="39" t="s">
        <v>39</v>
      </c>
      <c r="BC115" s="199">
        <v>0.26</v>
      </c>
      <c r="BD115" s="369" t="s">
        <v>39</v>
      </c>
      <c r="BE115" s="179"/>
      <c r="BF115" s="179"/>
    </row>
    <row r="116" spans="51:58" ht="61.5" thickTop="1" thickBot="1" x14ac:dyDescent="0.3">
      <c r="AZ116" s="30" t="s">
        <v>212</v>
      </c>
      <c r="BA116" s="41">
        <v>0.12</v>
      </c>
      <c r="BB116" s="33" t="s">
        <v>39</v>
      </c>
      <c r="BC116" s="194">
        <v>0.03</v>
      </c>
      <c r="BD116" s="368" t="s">
        <v>39</v>
      </c>
      <c r="BE116" s="370">
        <f>BC116/$BC$115</f>
        <v>0.11538461538461538</v>
      </c>
      <c r="BF116" s="179" t="s">
        <v>957</v>
      </c>
    </row>
    <row r="117" spans="51:58" ht="45.75" thickBot="1" x14ac:dyDescent="0.3">
      <c r="AZ117" s="30" t="s">
        <v>213</v>
      </c>
      <c r="BA117" s="41">
        <v>0.31</v>
      </c>
      <c r="BB117" s="33" t="s">
        <v>39</v>
      </c>
      <c r="BC117" s="194">
        <v>0.08</v>
      </c>
      <c r="BD117" s="368" t="s">
        <v>39</v>
      </c>
      <c r="BE117" s="370">
        <f>BC117/$BC$115</f>
        <v>0.30769230769230771</v>
      </c>
      <c r="BF117" s="179" t="s">
        <v>958</v>
      </c>
    </row>
    <row r="118" spans="51:58" ht="15" customHeight="1" thickBot="1" x14ac:dyDescent="0.3">
      <c r="AZ118" s="42" t="s">
        <v>214</v>
      </c>
      <c r="BA118" s="41">
        <v>0.31</v>
      </c>
      <c r="BB118" s="33" t="s">
        <v>39</v>
      </c>
      <c r="BC118" s="194">
        <v>0.08</v>
      </c>
      <c r="BD118" s="368" t="s">
        <v>39</v>
      </c>
      <c r="BE118" s="370">
        <f>BC118/$BC$115</f>
        <v>0.30769230769230771</v>
      </c>
      <c r="BF118" s="179" t="s">
        <v>959</v>
      </c>
    </row>
    <row r="119" spans="51:58" ht="30.75" thickBot="1" x14ac:dyDescent="0.3">
      <c r="AZ119" s="42" t="s">
        <v>215</v>
      </c>
      <c r="BA119" s="41">
        <v>0.25</v>
      </c>
      <c r="BB119" s="33" t="s">
        <v>39</v>
      </c>
      <c r="BC119" s="194">
        <v>7.0000000000000007E-2</v>
      </c>
      <c r="BD119" s="368" t="s">
        <v>39</v>
      </c>
      <c r="BE119" s="370">
        <f>BC119/$BC$115</f>
        <v>0.26923076923076927</v>
      </c>
      <c r="BF119" s="179" t="s">
        <v>960</v>
      </c>
    </row>
    <row r="120" spans="51:58" ht="30" x14ac:dyDescent="0.25">
      <c r="BD120" s="371" t="s">
        <v>909</v>
      </c>
      <c r="BE120" s="207">
        <f>SUM(BE116:BE119)</f>
        <v>1</v>
      </c>
    </row>
    <row r="122" spans="51:58" ht="15.75" thickBot="1" x14ac:dyDescent="0.3">
      <c r="AY122" t="s">
        <v>224</v>
      </c>
    </row>
    <row r="123" spans="51:58" ht="29.25" thickBot="1" x14ac:dyDescent="0.3">
      <c r="AZ123" s="45" t="s">
        <v>41</v>
      </c>
      <c r="BA123" s="28"/>
      <c r="BB123" s="43" t="s">
        <v>217</v>
      </c>
      <c r="BC123" s="43"/>
      <c r="BD123" s="28"/>
      <c r="BE123" s="179" t="s">
        <v>1026</v>
      </c>
    </row>
    <row r="124" spans="51:58" ht="15.75" thickBot="1" x14ac:dyDescent="0.3">
      <c r="AZ124" s="30"/>
      <c r="BA124" s="32" t="s">
        <v>203</v>
      </c>
      <c r="BB124" s="32" t="s">
        <v>204</v>
      </c>
      <c r="BC124" s="202" t="s">
        <v>205</v>
      </c>
      <c r="BD124" s="372" t="s">
        <v>206</v>
      </c>
      <c r="BE124" s="179"/>
    </row>
    <row r="125" spans="51:58" ht="45.75" thickBot="1" x14ac:dyDescent="0.3">
      <c r="AZ125" s="30" t="s">
        <v>207</v>
      </c>
      <c r="BA125" s="33" t="s">
        <v>39</v>
      </c>
      <c r="BB125" s="33" t="s">
        <v>39</v>
      </c>
      <c r="BC125" s="195" t="s">
        <v>39</v>
      </c>
      <c r="BD125" s="368" t="s">
        <v>39</v>
      </c>
      <c r="BE125" s="179"/>
    </row>
    <row r="126" spans="51:58" ht="60.75" thickBot="1" x14ac:dyDescent="0.3">
      <c r="AZ126" s="30" t="s">
        <v>208</v>
      </c>
      <c r="BA126" s="33" t="s">
        <v>39</v>
      </c>
      <c r="BB126" s="33" t="s">
        <v>39</v>
      </c>
      <c r="BC126" s="198">
        <v>1</v>
      </c>
      <c r="BD126" s="373">
        <v>1</v>
      </c>
      <c r="BE126" s="179"/>
    </row>
    <row r="127" spans="51:58" ht="45.75" thickBot="1" x14ac:dyDescent="0.3">
      <c r="AZ127" s="30" t="s">
        <v>218</v>
      </c>
      <c r="BA127" s="33" t="s">
        <v>39</v>
      </c>
      <c r="BB127" s="34">
        <v>1</v>
      </c>
      <c r="BC127" s="195" t="s">
        <v>39</v>
      </c>
      <c r="BD127" s="368" t="s">
        <v>39</v>
      </c>
      <c r="BE127" s="179"/>
    </row>
    <row r="128" spans="51:58" ht="15" customHeight="1" thickBot="1" x14ac:dyDescent="0.3">
      <c r="AZ128" s="30" t="s">
        <v>209</v>
      </c>
      <c r="BA128" s="33" t="s">
        <v>39</v>
      </c>
      <c r="BB128" s="33" t="s">
        <v>39</v>
      </c>
      <c r="BC128" s="195" t="s">
        <v>39</v>
      </c>
      <c r="BD128" s="368" t="s">
        <v>39</v>
      </c>
      <c r="BE128" s="179"/>
    </row>
    <row r="129" spans="51:57" ht="75.75" thickBot="1" x14ac:dyDescent="0.3">
      <c r="AZ129" s="30" t="s">
        <v>210</v>
      </c>
      <c r="BA129" s="33" t="s">
        <v>39</v>
      </c>
      <c r="BB129" s="33" t="s">
        <v>39</v>
      </c>
      <c r="BC129" s="195" t="s">
        <v>39</v>
      </c>
      <c r="BD129" s="368" t="s">
        <v>39</v>
      </c>
      <c r="BE129" s="179"/>
    </row>
    <row r="130" spans="51:57" ht="60.75" thickBot="1" x14ac:dyDescent="0.3">
      <c r="AZ130" s="30" t="s">
        <v>211</v>
      </c>
      <c r="BA130" s="34">
        <v>1</v>
      </c>
      <c r="BB130" s="34">
        <v>1</v>
      </c>
      <c r="BC130" s="195" t="s">
        <v>39</v>
      </c>
      <c r="BD130" s="368" t="s">
        <v>39</v>
      </c>
      <c r="BE130" s="179"/>
    </row>
    <row r="131" spans="51:57" ht="60.75" thickBot="1" x14ac:dyDescent="0.3">
      <c r="AZ131" s="30" t="s">
        <v>212</v>
      </c>
      <c r="BA131" s="33" t="s">
        <v>39</v>
      </c>
      <c r="BB131" s="33" t="s">
        <v>39</v>
      </c>
      <c r="BC131" s="195" t="s">
        <v>39</v>
      </c>
      <c r="BD131" s="368" t="s">
        <v>39</v>
      </c>
      <c r="BE131" s="179"/>
    </row>
    <row r="132" spans="51:57" ht="45.75" thickBot="1" x14ac:dyDescent="0.3">
      <c r="AZ132" s="30" t="s">
        <v>213</v>
      </c>
      <c r="BA132" s="46">
        <v>8.9999999999999993E-3</v>
      </c>
      <c r="BB132" s="33" t="s">
        <v>39</v>
      </c>
      <c r="BC132" s="194">
        <v>0.01</v>
      </c>
      <c r="BD132" s="368" t="s">
        <v>39</v>
      </c>
      <c r="BE132" s="179" t="s">
        <v>961</v>
      </c>
    </row>
    <row r="133" spans="51:57" ht="15" customHeight="1" thickBot="1" x14ac:dyDescent="0.3">
      <c r="AZ133" s="30" t="s">
        <v>219</v>
      </c>
      <c r="BA133" s="34">
        <v>0.84</v>
      </c>
      <c r="BB133" s="33" t="s">
        <v>39</v>
      </c>
      <c r="BC133" s="194">
        <v>0.84</v>
      </c>
      <c r="BD133" s="368" t="s">
        <v>39</v>
      </c>
      <c r="BE133" s="179" t="s">
        <v>964</v>
      </c>
    </row>
    <row r="134" spans="51:57" ht="30.75" thickBot="1" x14ac:dyDescent="0.3">
      <c r="AZ134" s="30" t="s">
        <v>220</v>
      </c>
      <c r="BA134" s="34">
        <v>0.15</v>
      </c>
      <c r="BB134" s="33" t="s">
        <v>39</v>
      </c>
      <c r="BC134" s="194">
        <v>0.15</v>
      </c>
      <c r="BD134" s="368" t="s">
        <v>39</v>
      </c>
      <c r="BE134" s="179" t="s">
        <v>965</v>
      </c>
    </row>
    <row r="137" spans="51:57" ht="15.75" thickBot="1" x14ac:dyDescent="0.3">
      <c r="AY137" t="s">
        <v>225</v>
      </c>
    </row>
    <row r="138" spans="51:57" ht="15.75" thickBot="1" x14ac:dyDescent="0.3">
      <c r="AZ138" s="45" t="s">
        <v>41</v>
      </c>
      <c r="BA138" s="28"/>
      <c r="BB138" s="43" t="s">
        <v>221</v>
      </c>
      <c r="BC138" s="43"/>
      <c r="BD138" s="29"/>
    </row>
    <row r="139" spans="51:57" ht="15.75" thickBot="1" x14ac:dyDescent="0.3">
      <c r="AZ139" s="30"/>
      <c r="BA139" s="32" t="s">
        <v>203</v>
      </c>
      <c r="BB139" s="32" t="s">
        <v>204</v>
      </c>
      <c r="BC139" s="193" t="s">
        <v>205</v>
      </c>
      <c r="BD139" s="32" t="s">
        <v>206</v>
      </c>
    </row>
    <row r="140" spans="51:57" ht="45.75" thickBot="1" x14ac:dyDescent="0.3">
      <c r="AZ140" s="30" t="s">
        <v>207</v>
      </c>
      <c r="BA140" s="33" t="s">
        <v>39</v>
      </c>
      <c r="BB140" s="33" t="s">
        <v>39</v>
      </c>
      <c r="BC140" s="195" t="s">
        <v>39</v>
      </c>
      <c r="BD140" s="33" t="s">
        <v>39</v>
      </c>
    </row>
    <row r="141" spans="51:57" ht="60.75" thickBot="1" x14ac:dyDescent="0.3">
      <c r="AZ141" s="30" t="s">
        <v>208</v>
      </c>
      <c r="BA141" s="33" t="s">
        <v>39</v>
      </c>
      <c r="BB141" s="33" t="s">
        <v>39</v>
      </c>
      <c r="BC141" s="198">
        <v>0.03</v>
      </c>
      <c r="BD141" s="34">
        <v>0.03</v>
      </c>
      <c r="BE141" s="201">
        <v>2.5000000000000001E-2</v>
      </c>
    </row>
    <row r="142" spans="51:57" ht="45.75" thickBot="1" x14ac:dyDescent="0.3">
      <c r="AZ142" s="30" t="s">
        <v>218</v>
      </c>
      <c r="BA142" s="33" t="s">
        <v>39</v>
      </c>
      <c r="BB142" s="34">
        <v>1</v>
      </c>
      <c r="BC142" s="195" t="s">
        <v>39</v>
      </c>
      <c r="BD142" s="33" t="s">
        <v>39</v>
      </c>
    </row>
    <row r="143" spans="51:57" ht="45.75" thickBot="1" x14ac:dyDescent="0.3">
      <c r="AZ143" s="30" t="s">
        <v>222</v>
      </c>
      <c r="BA143" s="33" t="s">
        <v>39</v>
      </c>
      <c r="BB143" s="34">
        <v>0.98</v>
      </c>
      <c r="BC143" s="196">
        <v>0.98</v>
      </c>
      <c r="BD143" s="35">
        <v>0.98</v>
      </c>
      <c r="BE143" s="201">
        <v>0.97499999999999998</v>
      </c>
    </row>
    <row r="144" spans="51:57" ht="75.75" thickBot="1" x14ac:dyDescent="0.3">
      <c r="AZ144" s="30" t="s">
        <v>210</v>
      </c>
      <c r="BA144" s="33" t="s">
        <v>39</v>
      </c>
      <c r="BB144" s="33" t="s">
        <v>39</v>
      </c>
      <c r="BC144" s="195" t="s">
        <v>39</v>
      </c>
      <c r="BD144" s="33" t="s">
        <v>39</v>
      </c>
    </row>
    <row r="145" spans="51:57" ht="60.75" thickBot="1" x14ac:dyDescent="0.3">
      <c r="AZ145" s="30" t="s">
        <v>211</v>
      </c>
      <c r="BA145" s="34">
        <v>1</v>
      </c>
      <c r="BB145" s="34">
        <v>0.03</v>
      </c>
      <c r="BC145" s="195" t="s">
        <v>39</v>
      </c>
      <c r="BD145" s="33" t="s">
        <v>39</v>
      </c>
    </row>
    <row r="146" spans="51:57" ht="60.75" thickBot="1" x14ac:dyDescent="0.3">
      <c r="AZ146" s="30" t="s">
        <v>212</v>
      </c>
      <c r="BA146" s="33" t="s">
        <v>39</v>
      </c>
      <c r="BB146" s="33" t="s">
        <v>39</v>
      </c>
      <c r="BC146" s="195" t="s">
        <v>39</v>
      </c>
      <c r="BD146" s="33" t="s">
        <v>39</v>
      </c>
    </row>
    <row r="147" spans="51:57" ht="45.75" thickBot="1" x14ac:dyDescent="0.3">
      <c r="AZ147" s="30" t="s">
        <v>213</v>
      </c>
      <c r="BA147" s="33" t="s">
        <v>39</v>
      </c>
      <c r="BB147" s="33" t="s">
        <v>39</v>
      </c>
      <c r="BC147" s="195" t="s">
        <v>39</v>
      </c>
      <c r="BD147" s="33" t="s">
        <v>39</v>
      </c>
    </row>
    <row r="148" spans="51:57" ht="15" customHeight="1" thickBot="1" x14ac:dyDescent="0.3">
      <c r="AZ148" s="30" t="s">
        <v>219</v>
      </c>
      <c r="BA148" s="33" t="s">
        <v>39</v>
      </c>
      <c r="BB148" s="33" t="s">
        <v>39</v>
      </c>
      <c r="BC148" s="195" t="s">
        <v>39</v>
      </c>
      <c r="BD148" s="33" t="s">
        <v>39</v>
      </c>
    </row>
    <row r="149" spans="51:57" ht="30.75" thickBot="1" x14ac:dyDescent="0.3">
      <c r="AZ149" s="30" t="s">
        <v>220</v>
      </c>
      <c r="BA149" s="34">
        <v>1</v>
      </c>
      <c r="BB149" s="33" t="s">
        <v>39</v>
      </c>
      <c r="BC149" s="194">
        <v>0.03</v>
      </c>
      <c r="BD149" s="33" t="s">
        <v>39</v>
      </c>
      <c r="BE149" s="23">
        <f>BC149/BC141</f>
        <v>1</v>
      </c>
    </row>
    <row r="151" spans="51:57" ht="15.75" thickBot="1" x14ac:dyDescent="0.3">
      <c r="AY151" t="s">
        <v>226</v>
      </c>
    </row>
    <row r="152" spans="51:57" ht="16.5" thickBot="1" x14ac:dyDescent="0.3">
      <c r="AZ152" s="47" t="s">
        <v>41</v>
      </c>
      <c r="BA152" s="28"/>
      <c r="BB152" s="385" t="s">
        <v>223</v>
      </c>
      <c r="BC152" s="385"/>
      <c r="BD152" s="29"/>
    </row>
    <row r="153" spans="51:57" ht="15.75" thickBot="1" x14ac:dyDescent="0.3">
      <c r="AZ153" s="30"/>
      <c r="BA153" s="32" t="s">
        <v>203</v>
      </c>
      <c r="BB153" s="32" t="s">
        <v>204</v>
      </c>
      <c r="BC153" s="193" t="s">
        <v>205</v>
      </c>
      <c r="BD153" s="32" t="s">
        <v>206</v>
      </c>
    </row>
    <row r="154" spans="51:57" ht="45.75" thickBot="1" x14ac:dyDescent="0.3">
      <c r="AZ154" s="30" t="s">
        <v>207</v>
      </c>
      <c r="BA154" s="33" t="s">
        <v>39</v>
      </c>
      <c r="BB154" s="33" t="s">
        <v>39</v>
      </c>
      <c r="BC154" s="195" t="s">
        <v>39</v>
      </c>
      <c r="BD154" s="33" t="s">
        <v>39</v>
      </c>
    </row>
    <row r="155" spans="51:57" ht="60.75" thickBot="1" x14ac:dyDescent="0.3">
      <c r="AZ155" s="30" t="s">
        <v>208</v>
      </c>
      <c r="BA155" s="33" t="s">
        <v>39</v>
      </c>
      <c r="BB155" s="33" t="s">
        <v>39</v>
      </c>
      <c r="BC155" s="200">
        <v>0.43</v>
      </c>
      <c r="BD155" s="35">
        <v>0.38</v>
      </c>
    </row>
    <row r="156" spans="51:57" ht="45.75" thickBot="1" x14ac:dyDescent="0.3">
      <c r="AZ156" s="30" t="s">
        <v>218</v>
      </c>
      <c r="BA156" s="33" t="s">
        <v>39</v>
      </c>
      <c r="BB156" s="34">
        <v>1</v>
      </c>
      <c r="BC156" s="195" t="s">
        <v>41</v>
      </c>
      <c r="BD156" s="33" t="s">
        <v>39</v>
      </c>
    </row>
    <row r="157" spans="51:57" ht="45.75" thickBot="1" x14ac:dyDescent="0.3">
      <c r="AZ157" s="30" t="s">
        <v>222</v>
      </c>
      <c r="BA157" s="33" t="s">
        <v>39</v>
      </c>
      <c r="BB157" s="46">
        <v>0.996</v>
      </c>
      <c r="BC157" s="196">
        <v>0.56999999999999995</v>
      </c>
      <c r="BD157" s="35">
        <v>0.62</v>
      </c>
    </row>
    <row r="158" spans="51:57" ht="75.75" thickBot="1" x14ac:dyDescent="0.3">
      <c r="AZ158" s="30" t="s">
        <v>210</v>
      </c>
      <c r="BA158" s="46">
        <v>6.0999999999999999E-2</v>
      </c>
      <c r="BB158" s="33" t="s">
        <v>39</v>
      </c>
      <c r="BC158" s="195" t="s">
        <v>41</v>
      </c>
      <c r="BD158" s="33" t="s">
        <v>39</v>
      </c>
    </row>
    <row r="159" spans="51:57" ht="60.75" thickBot="1" x14ac:dyDescent="0.3">
      <c r="AZ159" s="37" t="s">
        <v>211</v>
      </c>
      <c r="BA159" s="40">
        <v>0.94</v>
      </c>
      <c r="BB159" s="48">
        <v>4.0000000000000001E-3</v>
      </c>
      <c r="BC159" s="197" t="s">
        <v>41</v>
      </c>
      <c r="BD159" s="39" t="s">
        <v>39</v>
      </c>
    </row>
    <row r="160" spans="51:57" ht="61.5" thickTop="1" thickBot="1" x14ac:dyDescent="0.3">
      <c r="AY160" t="s">
        <v>962</v>
      </c>
      <c r="AZ160" s="30" t="s">
        <v>212</v>
      </c>
      <c r="BA160" s="34">
        <v>0.89</v>
      </c>
      <c r="BB160" s="33" t="s">
        <v>39</v>
      </c>
      <c r="BC160" s="196">
        <v>0.1</v>
      </c>
      <c r="BD160" s="33" t="s">
        <v>39</v>
      </c>
    </row>
    <row r="161" spans="51:56" ht="45.75" thickBot="1" x14ac:dyDescent="0.3">
      <c r="AZ161" s="30" t="s">
        <v>213</v>
      </c>
      <c r="BA161" s="33" t="s">
        <v>39</v>
      </c>
      <c r="BB161" s="33" t="s">
        <v>39</v>
      </c>
      <c r="BC161" s="195" t="s">
        <v>41</v>
      </c>
      <c r="BD161" s="33" t="s">
        <v>39</v>
      </c>
    </row>
    <row r="162" spans="51:56" ht="15" customHeight="1" thickBot="1" x14ac:dyDescent="0.3">
      <c r="AZ162" s="30" t="s">
        <v>219</v>
      </c>
      <c r="BA162" s="33" t="s">
        <v>39</v>
      </c>
      <c r="BB162" s="33" t="s">
        <v>39</v>
      </c>
      <c r="BC162" s="195" t="s">
        <v>41</v>
      </c>
      <c r="BD162" s="33" t="s">
        <v>39</v>
      </c>
    </row>
    <row r="163" spans="51:56" ht="30.75" thickBot="1" x14ac:dyDescent="0.3">
      <c r="AY163" t="s">
        <v>963</v>
      </c>
      <c r="AZ163" s="30" t="s">
        <v>220</v>
      </c>
      <c r="BA163" s="34">
        <v>0.05</v>
      </c>
      <c r="BB163" s="33" t="s">
        <v>39</v>
      </c>
      <c r="BC163" s="196">
        <v>0.9</v>
      </c>
      <c r="BD163" s="33" t="s">
        <v>39</v>
      </c>
    </row>
    <row r="165" spans="51:56" x14ac:dyDescent="0.25">
      <c r="AY165" t="s">
        <v>966</v>
      </c>
    </row>
    <row r="166" spans="51:56" x14ac:dyDescent="0.25">
      <c r="AY166" t="s">
        <v>992</v>
      </c>
    </row>
    <row r="167" spans="51:56" x14ac:dyDescent="0.25">
      <c r="AY167" t="s">
        <v>967</v>
      </c>
    </row>
    <row r="188" spans="55:62" x14ac:dyDescent="0.25">
      <c r="BC188" s="424"/>
      <c r="BD188" s="424"/>
      <c r="BE188" s="424"/>
      <c r="BF188" s="424"/>
      <c r="BG188" s="424"/>
      <c r="BI188" s="424"/>
      <c r="BJ188" s="424"/>
    </row>
    <row r="189" spans="55:62" x14ac:dyDescent="0.25">
      <c r="BC189" s="424"/>
      <c r="BD189" s="424"/>
      <c r="BE189" s="424"/>
      <c r="BF189" s="424"/>
      <c r="BG189" s="424"/>
      <c r="BI189" s="424"/>
      <c r="BJ189" s="424"/>
    </row>
    <row r="198" spans="55:62" x14ac:dyDescent="0.25">
      <c r="BC198" s="424"/>
      <c r="BD198" s="424"/>
      <c r="BE198" s="424"/>
      <c r="BF198" s="424"/>
      <c r="BG198" s="424"/>
      <c r="BH198" s="424"/>
      <c r="BJ198" s="424"/>
    </row>
    <row r="199" spans="55:62" x14ac:dyDescent="0.25">
      <c r="BC199" s="424"/>
      <c r="BD199" s="424"/>
      <c r="BE199" s="424"/>
      <c r="BF199" s="424"/>
      <c r="BG199" s="424"/>
      <c r="BH199" s="424"/>
      <c r="BJ199" s="424"/>
    </row>
    <row r="222" spans="63:63" x14ac:dyDescent="0.25">
      <c r="BK222" s="424"/>
    </row>
    <row r="223" spans="63:63" x14ac:dyDescent="0.25">
      <c r="BK223" s="424"/>
    </row>
    <row r="232" spans="63:63" ht="28.35" customHeight="1" x14ac:dyDescent="0.25"/>
    <row r="234" spans="63:63" x14ac:dyDescent="0.25">
      <c r="BK234" s="424"/>
    </row>
    <row r="235" spans="63:63" x14ac:dyDescent="0.25">
      <c r="BK235" s="424"/>
    </row>
    <row r="246" spans="55:55" ht="15" customHeight="1" x14ac:dyDescent="0.25"/>
    <row r="253" spans="55:55" x14ac:dyDescent="0.25">
      <c r="BC253" s="49"/>
    </row>
    <row r="287" spans="52:53" x14ac:dyDescent="0.25">
      <c r="AZ287" s="424"/>
      <c r="BA287" s="424"/>
    </row>
    <row r="288" spans="52:53" x14ac:dyDescent="0.25">
      <c r="AZ288" s="424"/>
      <c r="BA288" s="424"/>
    </row>
    <row r="289" spans="52:53" x14ac:dyDescent="0.25">
      <c r="AZ289" s="424"/>
      <c r="BA289" s="424"/>
    </row>
  </sheetData>
  <mergeCells count="18">
    <mergeCell ref="AZ287:AZ289"/>
    <mergeCell ref="BA287:BA289"/>
    <mergeCell ref="BC188:BC189"/>
    <mergeCell ref="BD188:BD189"/>
    <mergeCell ref="BE188:BE189"/>
    <mergeCell ref="BK234:BK235"/>
    <mergeCell ref="BI188:BI189"/>
    <mergeCell ref="BJ188:BJ189"/>
    <mergeCell ref="BK222:BK223"/>
    <mergeCell ref="BJ198:BJ199"/>
    <mergeCell ref="BH198:BH199"/>
    <mergeCell ref="BF188:BF189"/>
    <mergeCell ref="BG188:BG189"/>
    <mergeCell ref="BC198:BC199"/>
    <mergeCell ref="BD198:BD199"/>
    <mergeCell ref="BE198:BE199"/>
    <mergeCell ref="BF198:BF199"/>
    <mergeCell ref="BG198:BG19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65AC8-9CF6-49F2-ACD7-53A6EE8CB9DA}">
  <sheetPr>
    <tabColor theme="3" tint="0.89999084444715716"/>
  </sheetPr>
  <dimension ref="A1:CF230"/>
  <sheetViews>
    <sheetView topLeftCell="A32" zoomScale="85" zoomScaleNormal="85" workbookViewId="0">
      <selection activeCell="J30" sqref="J30"/>
    </sheetView>
  </sheetViews>
  <sheetFormatPr defaultRowHeight="15" x14ac:dyDescent="0.25"/>
  <cols>
    <col min="1" max="1" width="8.85546875" style="10"/>
    <col min="4" max="4" width="48.140625" customWidth="1"/>
    <col min="5" max="5" width="24.85546875" customWidth="1"/>
    <col min="6" max="6" width="28.85546875" customWidth="1"/>
    <col min="7" max="7" width="33" customWidth="1"/>
    <col min="8" max="8" width="30.140625" customWidth="1"/>
    <col min="9" max="9" width="15.85546875" bestFit="1" customWidth="1"/>
    <col min="10" max="10" width="22.5703125" customWidth="1"/>
    <col min="11" max="11" width="40.5703125" bestFit="1" customWidth="1"/>
    <col min="12" max="12" width="40.85546875" bestFit="1" customWidth="1"/>
    <col min="13" max="13" width="8.5703125" bestFit="1" customWidth="1"/>
    <col min="14" max="14" width="16.42578125" bestFit="1" customWidth="1"/>
    <col min="15" max="15" width="9.5703125" bestFit="1" customWidth="1"/>
    <col min="16" max="16" width="13.5703125" bestFit="1" customWidth="1"/>
    <col min="17" max="18" width="10.5703125" bestFit="1" customWidth="1"/>
    <col min="19" max="19" width="9.85546875" bestFit="1" customWidth="1"/>
    <col min="20" max="20" width="24.42578125" bestFit="1" customWidth="1"/>
    <col min="21" max="21" width="15.42578125" bestFit="1" customWidth="1"/>
    <col min="22" max="22" width="21.42578125" bestFit="1" customWidth="1"/>
    <col min="23" max="23" width="12.42578125" bestFit="1" customWidth="1"/>
    <col min="24" max="24" width="21.5703125" bestFit="1" customWidth="1"/>
    <col min="25" max="26" width="12" bestFit="1" customWidth="1"/>
    <col min="27" max="27" width="14.85546875" bestFit="1" customWidth="1"/>
    <col min="28" max="28" width="12.140625" bestFit="1" customWidth="1"/>
    <col min="29" max="29" width="23" bestFit="1" customWidth="1"/>
    <col min="30" max="30" width="24.85546875" bestFit="1" customWidth="1"/>
    <col min="31" max="31" width="13.140625" bestFit="1" customWidth="1"/>
    <col min="32" max="32" width="8.85546875" customWidth="1"/>
    <col min="33" max="33" width="20.42578125" customWidth="1"/>
    <col min="34" max="34" width="14" customWidth="1"/>
    <col min="35" max="35" width="10.5703125" bestFit="1" customWidth="1"/>
    <col min="36" max="36" width="22.42578125" customWidth="1"/>
    <col min="37" max="37" width="13.5703125" style="10" customWidth="1"/>
    <col min="38" max="38" width="12.5703125" bestFit="1" customWidth="1"/>
    <col min="40" max="40" width="77.85546875" customWidth="1"/>
    <col min="41" max="41" width="25.85546875" bestFit="1" customWidth="1"/>
    <col min="42" max="42" width="47.140625" customWidth="1"/>
    <col min="50" max="50" width="9.140625" bestFit="1" customWidth="1"/>
    <col min="52" max="52" width="23.5703125" bestFit="1" customWidth="1"/>
    <col min="53" max="54" width="12" bestFit="1" customWidth="1"/>
    <col min="55" max="57" width="9" bestFit="1" customWidth="1"/>
    <col min="60" max="65" width="9" bestFit="1" customWidth="1"/>
    <col min="66" max="68" width="12.140625" bestFit="1" customWidth="1"/>
    <col min="69" max="69" width="12" bestFit="1" customWidth="1"/>
  </cols>
  <sheetData>
    <row r="1" spans="1:42" ht="21" x14ac:dyDescent="0.35">
      <c r="A1" s="88" t="s">
        <v>1137</v>
      </c>
      <c r="AK1" s="10" t="s">
        <v>1113</v>
      </c>
      <c r="AP1" t="s">
        <v>754</v>
      </c>
    </row>
    <row r="2" spans="1:42" x14ac:dyDescent="0.25">
      <c r="A2" t="s">
        <v>1114</v>
      </c>
    </row>
    <row r="3" spans="1:42" ht="21" x14ac:dyDescent="0.35">
      <c r="A3" s="88"/>
    </row>
    <row r="4" spans="1:42" ht="21" x14ac:dyDescent="0.35">
      <c r="A4" s="88"/>
      <c r="C4" s="410" t="s">
        <v>1128</v>
      </c>
      <c r="D4" s="25"/>
    </row>
    <row r="5" spans="1:42" ht="21" x14ac:dyDescent="0.35">
      <c r="A5" s="88"/>
    </row>
    <row r="6" spans="1:42" ht="21" x14ac:dyDescent="0.35">
      <c r="A6" s="88"/>
      <c r="C6" s="418" t="s">
        <v>1119</v>
      </c>
      <c r="AM6" s="134" t="s">
        <v>665</v>
      </c>
    </row>
    <row r="7" spans="1:42" ht="21.75" thickBot="1" x14ac:dyDescent="0.4">
      <c r="A7" s="88"/>
      <c r="C7" s="419" t="s">
        <v>1050</v>
      </c>
      <c r="D7" s="210"/>
      <c r="E7" s="211" t="s">
        <v>281</v>
      </c>
      <c r="F7" s="211"/>
      <c r="G7" s="211"/>
      <c r="H7" s="211"/>
      <c r="I7" s="211"/>
      <c r="J7" s="211"/>
      <c r="K7" s="211"/>
      <c r="M7" s="396"/>
      <c r="AM7" s="136" t="s">
        <v>666</v>
      </c>
    </row>
    <row r="8" spans="1:42" ht="21" x14ac:dyDescent="0.35">
      <c r="A8" s="88"/>
      <c r="D8" s="190" t="s">
        <v>268</v>
      </c>
      <c r="E8" s="190" t="s">
        <v>523</v>
      </c>
      <c r="F8" s="216" t="s">
        <v>1031</v>
      </c>
      <c r="G8" s="216" t="s">
        <v>32</v>
      </c>
      <c r="H8" s="216" t="s">
        <v>1118</v>
      </c>
      <c r="I8" s="216" t="s">
        <v>408</v>
      </c>
      <c r="J8" s="216" t="s">
        <v>761</v>
      </c>
      <c r="K8" s="216" t="s">
        <v>759</v>
      </c>
      <c r="AM8" s="3" t="s">
        <v>667</v>
      </c>
    </row>
    <row r="9" spans="1:42" ht="21" x14ac:dyDescent="0.35">
      <c r="D9" s="67" t="s">
        <v>270</v>
      </c>
      <c r="E9" s="244" t="s">
        <v>662</v>
      </c>
      <c r="F9" s="72">
        <v>9.9099999999999996E-5</v>
      </c>
      <c r="G9" s="72" t="s">
        <v>271</v>
      </c>
      <c r="H9" s="72">
        <f>(46/1000)*((0.5)^-1)</f>
        <v>9.1999999999999998E-2</v>
      </c>
      <c r="I9" s="72" t="s">
        <v>1005</v>
      </c>
      <c r="J9" s="72" t="s">
        <v>762</v>
      </c>
      <c r="K9" s="72" t="s">
        <v>1030</v>
      </c>
      <c r="M9" s="396"/>
      <c r="AJ9" s="87"/>
    </row>
    <row r="10" spans="1:42" x14ac:dyDescent="0.25">
      <c r="D10" s="63" t="s">
        <v>282</v>
      </c>
      <c r="E10" s="63"/>
      <c r="F10" s="73"/>
      <c r="G10" s="73"/>
      <c r="H10" s="73"/>
      <c r="I10" s="73"/>
      <c r="J10" s="73"/>
      <c r="K10" s="73"/>
      <c r="AO10" s="242"/>
    </row>
    <row r="11" spans="1:42" ht="16.5" thickBot="1" x14ac:dyDescent="0.3">
      <c r="D11" s="67" t="s">
        <v>283</v>
      </c>
      <c r="E11" s="244" t="s">
        <v>757</v>
      </c>
      <c r="F11" s="67">
        <v>4.2000000000000002E-4</v>
      </c>
      <c r="G11" s="67" t="s">
        <v>279</v>
      </c>
      <c r="H11" s="67"/>
      <c r="I11" s="67"/>
      <c r="J11" s="67" t="s">
        <v>253</v>
      </c>
      <c r="K11" s="67"/>
      <c r="AM11" s="134" t="s">
        <v>229</v>
      </c>
    </row>
    <row r="12" spans="1:42" ht="15.75" thickBot="1" x14ac:dyDescent="0.3">
      <c r="D12" s="63" t="s">
        <v>263</v>
      </c>
      <c r="E12" s="63"/>
      <c r="F12" s="73"/>
      <c r="G12" s="73"/>
      <c r="H12" s="73"/>
      <c r="I12" s="73"/>
      <c r="J12" s="73"/>
      <c r="K12" s="73"/>
      <c r="AN12" s="427" t="s">
        <v>230</v>
      </c>
      <c r="AO12" s="427"/>
    </row>
    <row r="13" spans="1:42" ht="15.75" x14ac:dyDescent="0.25">
      <c r="D13" s="67" t="s">
        <v>280</v>
      </c>
      <c r="E13" s="244" t="s">
        <v>756</v>
      </c>
      <c r="F13" s="67">
        <v>4.2000000000000002E-4</v>
      </c>
      <c r="G13" s="67" t="s">
        <v>279</v>
      </c>
      <c r="H13" s="67"/>
      <c r="I13" s="67"/>
      <c r="J13" s="67" t="s">
        <v>264</v>
      </c>
      <c r="K13" s="67"/>
      <c r="AN13" s="51" t="s">
        <v>231</v>
      </c>
      <c r="AO13" s="52">
        <v>25000</v>
      </c>
    </row>
    <row r="14" spans="1:42" ht="15.75" thickBot="1" x14ac:dyDescent="0.3">
      <c r="C14" s="419" t="s">
        <v>1051</v>
      </c>
      <c r="D14" s="210"/>
      <c r="E14" s="211" t="s">
        <v>284</v>
      </c>
      <c r="F14" s="211"/>
      <c r="G14" s="211"/>
      <c r="H14" s="211"/>
      <c r="I14" s="211"/>
      <c r="J14" s="211"/>
      <c r="K14" s="211"/>
      <c r="AN14" s="53" t="s">
        <v>232</v>
      </c>
      <c r="AO14" s="54">
        <v>14</v>
      </c>
    </row>
    <row r="15" spans="1:42" ht="15.75" x14ac:dyDescent="0.25">
      <c r="D15" s="190" t="s">
        <v>268</v>
      </c>
      <c r="E15" s="190" t="s">
        <v>523</v>
      </c>
      <c r="F15" s="216" t="s">
        <v>1031</v>
      </c>
      <c r="G15" s="216" t="s">
        <v>32</v>
      </c>
      <c r="H15" s="216"/>
      <c r="I15" s="216"/>
      <c r="J15" s="216" t="s">
        <v>761</v>
      </c>
      <c r="K15" s="216" t="s">
        <v>759</v>
      </c>
      <c r="AN15" s="51" t="s">
        <v>233</v>
      </c>
      <c r="AO15" s="56">
        <v>630</v>
      </c>
    </row>
    <row r="16" spans="1:42" ht="15.75" x14ac:dyDescent="0.25">
      <c r="D16" s="67" t="s">
        <v>270</v>
      </c>
      <c r="E16" s="244" t="s">
        <v>662</v>
      </c>
      <c r="F16" s="72">
        <v>9.9099999999999996E-5</v>
      </c>
      <c r="G16" s="72" t="s">
        <v>271</v>
      </c>
      <c r="H16" s="72"/>
      <c r="I16" s="72"/>
      <c r="J16" s="72" t="s">
        <v>762</v>
      </c>
      <c r="K16" s="72"/>
      <c r="AN16" s="53" t="s">
        <v>234</v>
      </c>
      <c r="AO16" s="57">
        <v>14700</v>
      </c>
    </row>
    <row r="17" spans="3:42" ht="15.75" x14ac:dyDescent="0.25">
      <c r="D17" s="63" t="s">
        <v>285</v>
      </c>
      <c r="E17" s="63"/>
      <c r="F17" s="63"/>
      <c r="G17" s="63"/>
      <c r="H17" s="63"/>
      <c r="I17" s="63"/>
      <c r="J17" s="63"/>
      <c r="K17" s="63"/>
      <c r="AN17" s="51" t="s">
        <v>235</v>
      </c>
      <c r="AO17" s="52">
        <v>1050</v>
      </c>
    </row>
    <row r="18" spans="3:42" ht="15.75" x14ac:dyDescent="0.25">
      <c r="D18" s="67" t="s">
        <v>283</v>
      </c>
      <c r="E18" s="244" t="s">
        <v>755</v>
      </c>
      <c r="F18" s="67">
        <v>4.2000000000000002E-4</v>
      </c>
      <c r="G18" s="67" t="s">
        <v>279</v>
      </c>
      <c r="H18" s="67"/>
      <c r="I18" s="67"/>
      <c r="J18" s="67" t="s">
        <v>253</v>
      </c>
      <c r="K18" s="67"/>
      <c r="AN18" s="53" t="s">
        <v>236</v>
      </c>
      <c r="AO18" s="54">
        <v>60</v>
      </c>
    </row>
    <row r="19" spans="3:42" ht="15.75" x14ac:dyDescent="0.25">
      <c r="D19" s="67" t="s">
        <v>275</v>
      </c>
      <c r="E19" s="244" t="s">
        <v>758</v>
      </c>
      <c r="F19" s="72">
        <v>1.73E-5</v>
      </c>
      <c r="G19" s="72" t="s">
        <v>286</v>
      </c>
      <c r="H19" s="72"/>
      <c r="I19" s="72"/>
      <c r="J19" s="72" t="s">
        <v>258</v>
      </c>
      <c r="K19" s="72"/>
      <c r="AN19" s="51" t="s">
        <v>237</v>
      </c>
      <c r="AO19" s="56">
        <v>45</v>
      </c>
    </row>
    <row r="20" spans="3:42" x14ac:dyDescent="0.25">
      <c r="D20" s="63" t="s">
        <v>287</v>
      </c>
      <c r="E20" s="63"/>
      <c r="F20" s="63"/>
      <c r="G20" s="63"/>
      <c r="H20" s="63"/>
      <c r="I20" s="63"/>
      <c r="J20" s="63"/>
      <c r="K20" s="63"/>
      <c r="AN20" s="53" t="s">
        <v>238</v>
      </c>
      <c r="AO20" s="54" t="s">
        <v>239</v>
      </c>
    </row>
    <row r="21" spans="3:42" ht="16.5" thickBot="1" x14ac:dyDescent="0.3">
      <c r="D21" s="67" t="s">
        <v>283</v>
      </c>
      <c r="E21" s="244" t="s">
        <v>757</v>
      </c>
      <c r="F21" s="67">
        <v>4.2000000000000002E-4</v>
      </c>
      <c r="G21" s="67" t="s">
        <v>279</v>
      </c>
      <c r="H21" s="67"/>
      <c r="I21" s="67"/>
      <c r="J21" s="67"/>
      <c r="K21" s="67"/>
      <c r="AN21" s="58" t="s">
        <v>240</v>
      </c>
      <c r="AO21" s="59">
        <v>45323</v>
      </c>
    </row>
    <row r="22" spans="3:42" x14ac:dyDescent="0.25">
      <c r="D22" s="63" t="s">
        <v>263</v>
      </c>
      <c r="E22" s="63"/>
      <c r="F22" s="63"/>
      <c r="G22" s="63"/>
      <c r="H22" s="63"/>
      <c r="I22" s="63"/>
      <c r="J22" s="63"/>
      <c r="K22" s="63"/>
    </row>
    <row r="23" spans="3:42" ht="16.5" thickBot="1" x14ac:dyDescent="0.3">
      <c r="D23" s="74" t="s">
        <v>280</v>
      </c>
      <c r="E23" s="220" t="s">
        <v>756</v>
      </c>
      <c r="F23" s="74">
        <v>4.2000000000000002E-4</v>
      </c>
      <c r="G23" s="74" t="s">
        <v>279</v>
      </c>
      <c r="H23" s="74"/>
      <c r="I23" s="74"/>
      <c r="J23" s="74" t="s">
        <v>264</v>
      </c>
      <c r="K23" s="74"/>
    </row>
    <row r="25" spans="3:42" ht="15.75" thickBot="1" x14ac:dyDescent="0.3">
      <c r="D25" s="55" t="s">
        <v>288</v>
      </c>
      <c r="AM25" s="135" t="s">
        <v>265</v>
      </c>
    </row>
    <row r="26" spans="3:42" ht="15.75" thickBot="1" x14ac:dyDescent="0.3">
      <c r="D26" s="76" t="s">
        <v>289</v>
      </c>
      <c r="AN26" s="61" t="s">
        <v>241</v>
      </c>
      <c r="AO26" s="61" t="s">
        <v>242</v>
      </c>
      <c r="AP26" s="62" t="s">
        <v>243</v>
      </c>
    </row>
    <row r="27" spans="3:42" x14ac:dyDescent="0.25">
      <c r="C27" s="410" t="s">
        <v>1127</v>
      </c>
      <c r="D27" s="25"/>
      <c r="AN27" s="428" t="s">
        <v>244</v>
      </c>
      <c r="AO27" s="63" t="s">
        <v>245</v>
      </c>
      <c r="AP27" s="429" t="s">
        <v>246</v>
      </c>
    </row>
    <row r="28" spans="3:42" x14ac:dyDescent="0.25">
      <c r="AN28" s="425"/>
      <c r="AO28" s="63" t="s">
        <v>247</v>
      </c>
      <c r="AP28" s="426"/>
    </row>
    <row r="29" spans="3:42" ht="16.5" thickBot="1" x14ac:dyDescent="0.3">
      <c r="C29" s="420" t="s">
        <v>1120</v>
      </c>
      <c r="AN29" s="425"/>
      <c r="AO29" s="65"/>
      <c r="AP29" s="426"/>
    </row>
    <row r="30" spans="3:42" ht="15.75" thickBot="1" x14ac:dyDescent="0.3">
      <c r="D30" s="419" t="s">
        <v>1122</v>
      </c>
      <c r="E30" s="191" t="s">
        <v>333</v>
      </c>
      <c r="F30" s="191"/>
      <c r="G30" s="191"/>
      <c r="H30" s="191"/>
      <c r="I30" s="191"/>
      <c r="J30" s="396" t="s">
        <v>1116</v>
      </c>
      <c r="K30" s="396" t="s">
        <v>1115</v>
      </c>
      <c r="L30" s="191"/>
      <c r="AN30" s="430" t="s">
        <v>248</v>
      </c>
      <c r="AO30" s="67" t="s">
        <v>249</v>
      </c>
      <c r="AP30" s="431" t="s">
        <v>250</v>
      </c>
    </row>
    <row r="31" spans="3:42" ht="16.5" thickBot="1" x14ac:dyDescent="0.3">
      <c r="D31" s="393" t="s">
        <v>201</v>
      </c>
      <c r="E31" s="78" t="s">
        <v>406</v>
      </c>
      <c r="F31" s="78" t="s">
        <v>663</v>
      </c>
      <c r="G31" s="78" t="s">
        <v>291</v>
      </c>
      <c r="H31" s="77" t="s">
        <v>292</v>
      </c>
      <c r="I31" s="245" t="s">
        <v>406</v>
      </c>
      <c r="J31" s="246" t="s">
        <v>292</v>
      </c>
      <c r="K31" s="246" t="s">
        <v>292</v>
      </c>
      <c r="L31" s="246" t="s">
        <v>408</v>
      </c>
      <c r="AN31" s="430"/>
      <c r="AO31" s="67" t="s">
        <v>251</v>
      </c>
      <c r="AP31" s="431"/>
    </row>
    <row r="32" spans="3:42" x14ac:dyDescent="0.25">
      <c r="D32" s="77"/>
      <c r="E32" s="75" t="s">
        <v>668</v>
      </c>
      <c r="F32" s="75" t="s">
        <v>293</v>
      </c>
      <c r="G32" s="79">
        <v>21257</v>
      </c>
      <c r="H32" s="80">
        <v>0.93010000000000004</v>
      </c>
      <c r="I32" s="254" t="s">
        <v>668</v>
      </c>
      <c r="J32" s="247">
        <v>93.01</v>
      </c>
      <c r="K32" s="247"/>
      <c r="L32" s="247"/>
      <c r="AN32" s="425" t="s">
        <v>252</v>
      </c>
      <c r="AO32" s="63" t="s">
        <v>245</v>
      </c>
      <c r="AP32" s="426" t="s">
        <v>253</v>
      </c>
    </row>
    <row r="33" spans="4:42" ht="15.75" thickBot="1" x14ac:dyDescent="0.3">
      <c r="D33" s="389"/>
      <c r="E33" s="78" t="s">
        <v>669</v>
      </c>
      <c r="F33" s="78" t="s">
        <v>294</v>
      </c>
      <c r="G33" s="81">
        <v>1597</v>
      </c>
      <c r="H33" s="82">
        <v>6.9900000000000004E-2</v>
      </c>
      <c r="I33" s="255" t="s">
        <v>669</v>
      </c>
      <c r="J33" s="249">
        <v>6.99</v>
      </c>
      <c r="K33" s="249">
        <v>0.3</v>
      </c>
      <c r="L33" s="249" t="s">
        <v>1006</v>
      </c>
      <c r="AN33" s="425"/>
      <c r="AO33" s="63" t="s">
        <v>254</v>
      </c>
      <c r="AP33" s="426"/>
    </row>
    <row r="34" spans="4:42" ht="14.45" customHeight="1" thickBot="1" x14ac:dyDescent="0.3">
      <c r="D34" s="388" t="s">
        <v>200</v>
      </c>
      <c r="E34" s="78" t="s">
        <v>406</v>
      </c>
      <c r="F34" s="78" t="s">
        <v>664</v>
      </c>
      <c r="G34" s="78" t="s">
        <v>291</v>
      </c>
      <c r="H34" s="77" t="s">
        <v>295</v>
      </c>
      <c r="I34" s="248" t="s">
        <v>406</v>
      </c>
      <c r="J34" s="249" t="s">
        <v>295</v>
      </c>
      <c r="K34" s="249"/>
      <c r="L34" s="249"/>
      <c r="AN34" s="432" t="s">
        <v>255</v>
      </c>
      <c r="AO34" s="67" t="s">
        <v>245</v>
      </c>
      <c r="AP34" s="431" t="s">
        <v>256</v>
      </c>
    </row>
    <row r="35" spans="4:42" x14ac:dyDescent="0.25">
      <c r="D35" s="77"/>
      <c r="E35" s="98" t="s">
        <v>670</v>
      </c>
      <c r="F35" s="98" t="s">
        <v>296</v>
      </c>
      <c r="G35" s="79">
        <v>2926</v>
      </c>
      <c r="H35" s="80">
        <v>0.9456</v>
      </c>
      <c r="I35" s="256" t="s">
        <v>670</v>
      </c>
      <c r="J35" s="250">
        <v>94.56</v>
      </c>
      <c r="K35" s="250">
        <v>96.35</v>
      </c>
      <c r="L35" s="250" t="s">
        <v>1007</v>
      </c>
      <c r="AN35" s="432"/>
      <c r="AO35" s="67" t="s">
        <v>254</v>
      </c>
      <c r="AP35" s="431"/>
    </row>
    <row r="36" spans="4:42" x14ac:dyDescent="0.25">
      <c r="D36" s="77"/>
      <c r="E36" s="77" t="s">
        <v>671</v>
      </c>
      <c r="F36" s="77" t="s">
        <v>334</v>
      </c>
      <c r="G36" s="77">
        <v>7</v>
      </c>
      <c r="H36" s="83">
        <v>5.4399999999999997E-2</v>
      </c>
      <c r="I36" s="254" t="s">
        <v>671</v>
      </c>
      <c r="J36" s="251">
        <v>5.44</v>
      </c>
      <c r="K36" s="251">
        <v>3.5</v>
      </c>
      <c r="L36" s="251" t="s">
        <v>1008</v>
      </c>
      <c r="AN36" s="433" t="s">
        <v>257</v>
      </c>
      <c r="AO36" s="68" t="s">
        <v>245</v>
      </c>
      <c r="AP36" s="434" t="s">
        <v>258</v>
      </c>
    </row>
    <row r="37" spans="4:42" ht="15.75" thickBot="1" x14ac:dyDescent="0.3">
      <c r="D37" s="389"/>
      <c r="E37" s="84" t="s">
        <v>672</v>
      </c>
      <c r="F37" s="84" t="s">
        <v>298</v>
      </c>
      <c r="G37" s="84">
        <v>0</v>
      </c>
      <c r="H37" s="85">
        <v>0</v>
      </c>
      <c r="I37" s="255" t="s">
        <v>672</v>
      </c>
      <c r="J37" s="252">
        <v>0</v>
      </c>
      <c r="K37" s="252">
        <v>0.15</v>
      </c>
      <c r="L37" s="252" t="s">
        <v>1009</v>
      </c>
      <c r="AN37" s="433"/>
      <c r="AO37" s="68" t="s">
        <v>259</v>
      </c>
      <c r="AP37" s="434"/>
    </row>
    <row r="38" spans="4:42" ht="15.75" thickBot="1" x14ac:dyDescent="0.3">
      <c r="D38" s="419" t="s">
        <v>1051</v>
      </c>
      <c r="E38" s="253" t="s">
        <v>335</v>
      </c>
      <c r="F38" s="78"/>
      <c r="G38" s="78"/>
      <c r="H38" s="78"/>
      <c r="I38" s="248"/>
      <c r="J38" s="249"/>
      <c r="K38" s="249"/>
      <c r="L38" s="249"/>
      <c r="AN38" s="432" t="s">
        <v>260</v>
      </c>
      <c r="AO38" s="67" t="s">
        <v>245</v>
      </c>
      <c r="AP38" s="431" t="s">
        <v>261</v>
      </c>
    </row>
    <row r="39" spans="4:42" ht="16.5" thickBot="1" x14ac:dyDescent="0.3">
      <c r="D39" s="393" t="s">
        <v>201</v>
      </c>
      <c r="E39" s="78" t="s">
        <v>406</v>
      </c>
      <c r="F39" s="78" t="s">
        <v>663</v>
      </c>
      <c r="G39" s="78" t="s">
        <v>291</v>
      </c>
      <c r="H39" s="77" t="s">
        <v>292</v>
      </c>
      <c r="I39" s="248" t="s">
        <v>406</v>
      </c>
      <c r="J39" s="249" t="s">
        <v>292</v>
      </c>
      <c r="K39" s="249"/>
      <c r="L39" s="249"/>
      <c r="AN39" s="432"/>
      <c r="AO39" s="67" t="s">
        <v>262</v>
      </c>
      <c r="AP39" s="431"/>
    </row>
    <row r="40" spans="4:42" x14ac:dyDescent="0.25">
      <c r="D40" s="77"/>
      <c r="E40" s="75" t="s">
        <v>673</v>
      </c>
      <c r="F40" s="75" t="s">
        <v>293</v>
      </c>
      <c r="G40" s="79">
        <v>47406</v>
      </c>
      <c r="H40" s="80">
        <v>0.9234</v>
      </c>
      <c r="I40" s="254" t="s">
        <v>673</v>
      </c>
      <c r="J40" s="247">
        <v>92.34</v>
      </c>
      <c r="K40" s="247"/>
      <c r="L40" s="247"/>
      <c r="AN40" s="433" t="s">
        <v>263</v>
      </c>
      <c r="AO40" s="68" t="s">
        <v>245</v>
      </c>
      <c r="AP40" s="69" t="s">
        <v>264</v>
      </c>
    </row>
    <row r="41" spans="4:42" ht="15.75" thickBot="1" x14ac:dyDescent="0.3">
      <c r="D41" s="389"/>
      <c r="E41" s="78" t="s">
        <v>674</v>
      </c>
      <c r="F41" s="78" t="s">
        <v>294</v>
      </c>
      <c r="G41" s="81">
        <v>3932</v>
      </c>
      <c r="H41" s="82">
        <v>7.6600000000000001E-2</v>
      </c>
      <c r="I41" s="255" t="s">
        <v>674</v>
      </c>
      <c r="J41" s="249">
        <v>7.66</v>
      </c>
      <c r="K41" s="249"/>
      <c r="L41" s="249"/>
      <c r="AN41" s="433"/>
      <c r="AO41" s="243" t="s">
        <v>760</v>
      </c>
    </row>
    <row r="42" spans="4:42" ht="16.5" thickBot="1" x14ac:dyDescent="0.3">
      <c r="D42" s="388" t="s">
        <v>200</v>
      </c>
      <c r="E42" s="78" t="s">
        <v>406</v>
      </c>
      <c r="F42" s="78" t="s">
        <v>664</v>
      </c>
      <c r="G42" s="78" t="s">
        <v>291</v>
      </c>
      <c r="H42" s="77" t="s">
        <v>295</v>
      </c>
      <c r="I42" s="248" t="s">
        <v>406</v>
      </c>
      <c r="J42" s="249" t="s">
        <v>295</v>
      </c>
      <c r="K42" s="249"/>
      <c r="L42" s="249"/>
    </row>
    <row r="43" spans="4:42" x14ac:dyDescent="0.25">
      <c r="D43" s="77"/>
      <c r="E43" s="98" t="s">
        <v>675</v>
      </c>
      <c r="F43" s="98" t="s">
        <v>296</v>
      </c>
      <c r="G43" s="79">
        <v>108623</v>
      </c>
      <c r="H43" s="80">
        <v>0.99750000000000005</v>
      </c>
      <c r="I43" s="256" t="s">
        <v>675</v>
      </c>
      <c r="J43" s="250">
        <v>99.75</v>
      </c>
      <c r="K43" s="250"/>
      <c r="L43" s="250"/>
    </row>
    <row r="44" spans="4:42" x14ac:dyDescent="0.25">
      <c r="D44" s="77"/>
      <c r="E44" s="77" t="s">
        <v>676</v>
      </c>
      <c r="F44" s="77" t="s">
        <v>336</v>
      </c>
      <c r="G44" s="77">
        <v>272</v>
      </c>
      <c r="H44" s="83">
        <v>2.5000000000000001E-3</v>
      </c>
      <c r="I44" s="254" t="s">
        <v>676</v>
      </c>
      <c r="J44" s="251">
        <v>0.25</v>
      </c>
      <c r="K44" s="251"/>
      <c r="L44" s="251"/>
      <c r="M44" s="222"/>
      <c r="N44" s="221"/>
    </row>
    <row r="45" spans="4:42" ht="15.75" thickBot="1" x14ac:dyDescent="0.3">
      <c r="D45" s="389"/>
      <c r="E45" s="84" t="s">
        <v>677</v>
      </c>
      <c r="F45" s="84" t="s">
        <v>298</v>
      </c>
      <c r="G45" s="84">
        <v>0</v>
      </c>
      <c r="H45" s="85">
        <v>0</v>
      </c>
      <c r="I45" s="255" t="s">
        <v>677</v>
      </c>
      <c r="J45" s="252">
        <v>0</v>
      </c>
      <c r="K45" s="252"/>
      <c r="L45" s="252"/>
      <c r="M45" s="222"/>
      <c r="N45" s="221"/>
      <c r="AM45" s="134" t="s">
        <v>266</v>
      </c>
    </row>
    <row r="46" spans="4:42" ht="15.75" thickBot="1" x14ac:dyDescent="0.3">
      <c r="D46" s="99" t="s">
        <v>337</v>
      </c>
      <c r="M46" s="222"/>
      <c r="N46" s="221"/>
      <c r="AN46" s="427" t="s">
        <v>267</v>
      </c>
      <c r="AO46" s="427"/>
      <c r="AP46" s="427"/>
    </row>
    <row r="47" spans="4:42" x14ac:dyDescent="0.25">
      <c r="D47" s="76" t="s">
        <v>338</v>
      </c>
      <c r="M47" s="222"/>
      <c r="N47" s="221"/>
      <c r="AN47" s="71" t="s">
        <v>268</v>
      </c>
      <c r="AO47" s="71" t="s">
        <v>269</v>
      </c>
      <c r="AP47" s="71" t="s">
        <v>32</v>
      </c>
    </row>
    <row r="48" spans="4:42" ht="15.75" x14ac:dyDescent="0.25">
      <c r="M48" s="222"/>
      <c r="N48" s="221"/>
      <c r="AN48" s="67" t="s">
        <v>270</v>
      </c>
      <c r="AO48" s="72">
        <v>1.25E-4</v>
      </c>
      <c r="AP48" s="67" t="s">
        <v>271</v>
      </c>
    </row>
    <row r="49" spans="3:42" ht="15.75" x14ac:dyDescent="0.25">
      <c r="AN49" s="67" t="s">
        <v>272</v>
      </c>
      <c r="AO49" s="72">
        <v>1.02E-4</v>
      </c>
      <c r="AP49" s="67" t="s">
        <v>273</v>
      </c>
    </row>
    <row r="50" spans="3:42" x14ac:dyDescent="0.25">
      <c r="AN50" s="63" t="s">
        <v>274</v>
      </c>
      <c r="AO50" s="73"/>
      <c r="AP50" s="73"/>
    </row>
    <row r="51" spans="3:42" ht="15.75" x14ac:dyDescent="0.25">
      <c r="C51" s="18" t="s">
        <v>1121</v>
      </c>
      <c r="AN51" s="67" t="s">
        <v>275</v>
      </c>
      <c r="AO51" s="72">
        <v>1.73E-5</v>
      </c>
      <c r="AP51" s="67" t="s">
        <v>276</v>
      </c>
    </row>
    <row r="52" spans="3:42" x14ac:dyDescent="0.25">
      <c r="D52" s="421" t="s">
        <v>1122</v>
      </c>
      <c r="E52" s="314"/>
      <c r="F52" s="314"/>
      <c r="G52" s="314"/>
      <c r="H52" s="314"/>
      <c r="I52" s="314"/>
      <c r="J52" s="314"/>
      <c r="K52" s="314"/>
      <c r="L52" s="314"/>
      <c r="M52" s="314"/>
      <c r="N52" s="314"/>
      <c r="O52" s="421" t="s">
        <v>1051</v>
      </c>
      <c r="P52" s="314"/>
      <c r="Q52" s="314"/>
      <c r="R52" s="314"/>
      <c r="S52" s="314"/>
      <c r="T52" s="314"/>
      <c r="U52" s="314"/>
      <c r="AN52" s="63" t="s">
        <v>277</v>
      </c>
      <c r="AO52" s="73"/>
      <c r="AP52" s="73"/>
    </row>
    <row r="53" spans="3:42" ht="15.75" x14ac:dyDescent="0.25">
      <c r="D53" s="422" t="s">
        <v>339</v>
      </c>
      <c r="E53" s="423"/>
      <c r="F53" s="423"/>
      <c r="G53" s="423"/>
      <c r="H53" s="423"/>
      <c r="I53" s="423"/>
      <c r="J53" t="s">
        <v>1027</v>
      </c>
      <c r="N53" s="203"/>
      <c r="O53" s="415" t="s">
        <v>340</v>
      </c>
      <c r="P53" s="416"/>
      <c r="T53" s="203"/>
      <c r="U53" s="417"/>
      <c r="AN53" s="67" t="s">
        <v>278</v>
      </c>
      <c r="AO53" s="67">
        <v>4.2000000000000002E-4</v>
      </c>
      <c r="AP53" s="67" t="s">
        <v>279</v>
      </c>
    </row>
    <row r="54" spans="3:42" ht="16.5" thickBot="1" x14ac:dyDescent="0.3">
      <c r="D54" s="264"/>
      <c r="E54" s="152" t="s">
        <v>697</v>
      </c>
      <c r="F54" s="257" t="s">
        <v>341</v>
      </c>
      <c r="G54" s="152" t="s">
        <v>752</v>
      </c>
      <c r="H54" s="257" t="s">
        <v>342</v>
      </c>
      <c r="I54" s="152" t="s">
        <v>749</v>
      </c>
      <c r="J54" s="257" t="s">
        <v>343</v>
      </c>
      <c r="K54" s="257" t="s">
        <v>1117</v>
      </c>
      <c r="L54" s="257" t="s">
        <v>1028</v>
      </c>
      <c r="M54" s="6" t="s">
        <v>750</v>
      </c>
      <c r="N54" s="265" t="s">
        <v>344</v>
      </c>
      <c r="O54" s="267" t="s">
        <v>815</v>
      </c>
      <c r="P54" s="257" t="s">
        <v>345</v>
      </c>
      <c r="Q54" s="152" t="s">
        <v>816</v>
      </c>
      <c r="R54" s="257" t="s">
        <v>343</v>
      </c>
      <c r="S54" s="6" t="s">
        <v>750</v>
      </c>
      <c r="T54" s="265" t="s">
        <v>344</v>
      </c>
      <c r="U54" s="376" t="s">
        <v>851</v>
      </c>
      <c r="AN54" s="67" t="s">
        <v>275</v>
      </c>
      <c r="AO54" s="72">
        <v>1.73E-5</v>
      </c>
      <c r="AP54" s="67" t="s">
        <v>276</v>
      </c>
    </row>
    <row r="55" spans="3:42" x14ac:dyDescent="0.25">
      <c r="D55" s="266" t="s">
        <v>310</v>
      </c>
      <c r="E55" s="274" t="s">
        <v>680</v>
      </c>
      <c r="F55" s="258">
        <v>96.15</v>
      </c>
      <c r="G55" s="296" t="s">
        <v>698</v>
      </c>
      <c r="H55" s="258">
        <v>3</v>
      </c>
      <c r="I55" s="296" t="s">
        <v>715</v>
      </c>
      <c r="J55" s="258">
        <v>0</v>
      </c>
      <c r="K55" s="258"/>
      <c r="L55" s="258"/>
      <c r="M55" s="297" t="s">
        <v>732</v>
      </c>
      <c r="N55" s="270">
        <v>0.89</v>
      </c>
      <c r="O55" s="277" t="s">
        <v>781</v>
      </c>
      <c r="P55" s="278">
        <f>AT150*100</f>
        <v>68.77</v>
      </c>
      <c r="Q55" s="279" t="s">
        <v>798</v>
      </c>
      <c r="R55" s="278">
        <v>0</v>
      </c>
      <c r="S55" s="280" t="s">
        <v>764</v>
      </c>
      <c r="T55" s="281">
        <f>AV150*100</f>
        <v>31.230000000000004</v>
      </c>
      <c r="U55" s="374">
        <f>P55+R55+T55</f>
        <v>100</v>
      </c>
      <c r="AN55" s="63" t="s">
        <v>263</v>
      </c>
      <c r="AO55" s="73"/>
      <c r="AP55" s="73"/>
    </row>
    <row r="56" spans="3:42" ht="16.5" thickBot="1" x14ac:dyDescent="0.3">
      <c r="D56" s="267" t="s">
        <v>311</v>
      </c>
      <c r="E56" s="275" t="s">
        <v>681</v>
      </c>
      <c r="F56" s="259">
        <v>5</v>
      </c>
      <c r="G56" s="298" t="s">
        <v>699</v>
      </c>
      <c r="H56" s="259">
        <v>0</v>
      </c>
      <c r="I56" s="298" t="s">
        <v>716</v>
      </c>
      <c r="J56" s="259">
        <v>55</v>
      </c>
      <c r="K56" s="259">
        <v>60</v>
      </c>
      <c r="L56" s="259" t="s">
        <v>1010</v>
      </c>
      <c r="M56" s="299" t="s">
        <v>733</v>
      </c>
      <c r="N56" s="271">
        <v>40</v>
      </c>
      <c r="O56" s="267" t="s">
        <v>782</v>
      </c>
      <c r="P56" s="259" t="s">
        <v>39</v>
      </c>
      <c r="Q56" s="282" t="s">
        <v>799</v>
      </c>
      <c r="R56" s="259">
        <f>AU151*100</f>
        <v>11.07</v>
      </c>
      <c r="S56" s="6" t="s">
        <v>765</v>
      </c>
      <c r="T56" s="271">
        <f>AV151*100</f>
        <v>88.929999999999993</v>
      </c>
      <c r="U56" s="374">
        <f>R56+T56</f>
        <v>100</v>
      </c>
      <c r="AN56" s="74" t="s">
        <v>280</v>
      </c>
      <c r="AO56" s="74">
        <v>4.2000000000000002E-4</v>
      </c>
      <c r="AP56" s="74" t="s">
        <v>279</v>
      </c>
    </row>
    <row r="57" spans="3:42" ht="15.75" thickBot="1" x14ac:dyDescent="0.3">
      <c r="D57" s="268" t="s">
        <v>312</v>
      </c>
      <c r="E57" s="275" t="s">
        <v>682</v>
      </c>
      <c r="F57" s="260">
        <v>3.74</v>
      </c>
      <c r="G57" s="298" t="s">
        <v>700</v>
      </c>
      <c r="H57" s="260">
        <v>0</v>
      </c>
      <c r="I57" s="298" t="s">
        <v>717</v>
      </c>
      <c r="J57" s="260">
        <v>55.389999999999993</v>
      </c>
      <c r="K57" s="260">
        <v>50</v>
      </c>
      <c r="L57" s="260" t="s">
        <v>1011</v>
      </c>
      <c r="M57" s="299" t="s">
        <v>734</v>
      </c>
      <c r="N57" s="272">
        <v>41.3</v>
      </c>
      <c r="O57" s="267" t="s">
        <v>783</v>
      </c>
      <c r="P57" s="259" t="s">
        <v>39</v>
      </c>
      <c r="Q57" s="282" t="s">
        <v>800</v>
      </c>
      <c r="R57" s="259">
        <f>AU152*100</f>
        <v>23.56</v>
      </c>
      <c r="S57" s="6" t="s">
        <v>766</v>
      </c>
      <c r="T57" s="271">
        <f>AV152*100</f>
        <v>76.44</v>
      </c>
      <c r="U57" s="374">
        <f t="shared" ref="U57:U72" si="0">R57+T57</f>
        <v>100</v>
      </c>
      <c r="AN57" s="427" t="s">
        <v>281</v>
      </c>
      <c r="AO57" s="427"/>
      <c r="AP57" s="427"/>
    </row>
    <row r="58" spans="3:42" ht="15.75" thickBot="1" x14ac:dyDescent="0.3">
      <c r="D58" s="302" t="s">
        <v>512</v>
      </c>
      <c r="E58" s="303" t="s">
        <v>841</v>
      </c>
      <c r="F58" s="304">
        <f>BZ179*100</f>
        <v>6.8702290076335881</v>
      </c>
      <c r="G58" s="303" t="s">
        <v>842</v>
      </c>
      <c r="H58" s="304"/>
      <c r="I58" s="303" t="s">
        <v>843</v>
      </c>
      <c r="J58" s="304">
        <f>CB179*100</f>
        <v>54.961832061068691</v>
      </c>
      <c r="K58" s="304"/>
      <c r="L58" s="304"/>
      <c r="M58" s="303" t="s">
        <v>844</v>
      </c>
      <c r="N58" s="305">
        <f>CA179*100</f>
        <v>38.167938931297719</v>
      </c>
      <c r="O58" s="302"/>
      <c r="P58" s="306"/>
      <c r="Q58" s="306"/>
      <c r="R58" s="306"/>
      <c r="S58" s="306"/>
      <c r="T58" s="307"/>
      <c r="U58" s="377"/>
      <c r="AN58" s="63" t="s">
        <v>268</v>
      </c>
      <c r="AO58" s="75" t="s">
        <v>269</v>
      </c>
      <c r="AP58" s="63" t="s">
        <v>32</v>
      </c>
    </row>
    <row r="59" spans="3:42" ht="15.75" x14ac:dyDescent="0.25">
      <c r="D59" s="267" t="s">
        <v>313</v>
      </c>
      <c r="E59" s="275" t="s">
        <v>683</v>
      </c>
      <c r="F59" s="259">
        <v>5.26</v>
      </c>
      <c r="G59" s="298" t="s">
        <v>701</v>
      </c>
      <c r="H59" s="259">
        <v>0</v>
      </c>
      <c r="I59" s="298" t="s">
        <v>718</v>
      </c>
      <c r="J59" s="259">
        <v>54.93</v>
      </c>
      <c r="K59" s="259"/>
      <c r="L59" s="259"/>
      <c r="M59" s="299" t="s">
        <v>735</v>
      </c>
      <c r="N59" s="271">
        <v>40</v>
      </c>
      <c r="O59" s="267" t="s">
        <v>784</v>
      </c>
      <c r="P59" s="259" t="s">
        <v>39</v>
      </c>
      <c r="Q59" s="282" t="s">
        <v>801</v>
      </c>
      <c r="R59" s="259">
        <f t="shared" ref="R59:R72" si="1">AU153*100</f>
        <v>25.94</v>
      </c>
      <c r="S59" s="6" t="s">
        <v>767</v>
      </c>
      <c r="T59" s="271">
        <f t="shared" ref="T59:T72" si="2">AV153*100</f>
        <v>74.06</v>
      </c>
      <c r="U59" s="374">
        <f t="shared" si="0"/>
        <v>100</v>
      </c>
      <c r="AN59" s="67" t="s">
        <v>270</v>
      </c>
      <c r="AO59" s="72">
        <v>9.9099999999999996E-5</v>
      </c>
      <c r="AP59" s="67" t="s">
        <v>271</v>
      </c>
    </row>
    <row r="60" spans="3:42" x14ac:dyDescent="0.25">
      <c r="D60" s="268" t="s">
        <v>314</v>
      </c>
      <c r="E60" s="275" t="s">
        <v>684</v>
      </c>
      <c r="F60" s="260">
        <v>9.5399999999999991</v>
      </c>
      <c r="G60" s="298" t="s">
        <v>702</v>
      </c>
      <c r="H60" s="260">
        <v>0</v>
      </c>
      <c r="I60" s="298" t="s">
        <v>719</v>
      </c>
      <c r="J60" s="260">
        <v>50.91</v>
      </c>
      <c r="K60" s="260">
        <v>55</v>
      </c>
      <c r="L60" s="260" t="s">
        <v>1012</v>
      </c>
      <c r="M60" s="299" t="s">
        <v>736</v>
      </c>
      <c r="N60" s="272">
        <v>39.619999999999997</v>
      </c>
      <c r="O60" s="267" t="s">
        <v>785</v>
      </c>
      <c r="P60" s="259" t="s">
        <v>39</v>
      </c>
      <c r="Q60" s="282" t="s">
        <v>802</v>
      </c>
      <c r="R60" s="259">
        <f t="shared" si="1"/>
        <v>12.120000000000001</v>
      </c>
      <c r="S60" s="6" t="s">
        <v>768</v>
      </c>
      <c r="T60" s="271">
        <f t="shared" si="2"/>
        <v>87.88</v>
      </c>
      <c r="U60" s="374">
        <f t="shared" si="0"/>
        <v>100</v>
      </c>
      <c r="AN60" s="63" t="s">
        <v>282</v>
      </c>
      <c r="AO60" s="73"/>
      <c r="AP60" s="73"/>
    </row>
    <row r="61" spans="3:42" ht="15.75" x14ac:dyDescent="0.25">
      <c r="D61" s="267" t="s">
        <v>199</v>
      </c>
      <c r="E61" s="275" t="s">
        <v>685</v>
      </c>
      <c r="F61" s="259">
        <v>0.61</v>
      </c>
      <c r="G61" s="298" t="s">
        <v>703</v>
      </c>
      <c r="H61" s="259">
        <v>0</v>
      </c>
      <c r="I61" s="298" t="s">
        <v>720</v>
      </c>
      <c r="J61" s="259">
        <v>0</v>
      </c>
      <c r="K61" s="259"/>
      <c r="L61" s="259"/>
      <c r="M61" s="299" t="s">
        <v>737</v>
      </c>
      <c r="N61" s="271">
        <v>99.39</v>
      </c>
      <c r="O61" s="267" t="s">
        <v>786</v>
      </c>
      <c r="P61" s="259" t="s">
        <v>39</v>
      </c>
      <c r="Q61" s="282" t="s">
        <v>803</v>
      </c>
      <c r="R61" s="259">
        <f t="shared" si="1"/>
        <v>0</v>
      </c>
      <c r="S61" s="6" t="s">
        <v>769</v>
      </c>
      <c r="T61" s="271">
        <f t="shared" si="2"/>
        <v>100</v>
      </c>
      <c r="U61" s="374">
        <f t="shared" si="0"/>
        <v>100</v>
      </c>
      <c r="AN61" s="67" t="s">
        <v>283</v>
      </c>
      <c r="AO61" s="67">
        <v>4.2000000000000002E-4</v>
      </c>
      <c r="AP61" s="67" t="s">
        <v>279</v>
      </c>
    </row>
    <row r="62" spans="3:42" ht="15.75" x14ac:dyDescent="0.25">
      <c r="D62" s="268" t="s">
        <v>315</v>
      </c>
      <c r="E62" s="275" t="s">
        <v>686</v>
      </c>
      <c r="F62" s="260">
        <v>5.93</v>
      </c>
      <c r="G62" s="298" t="s">
        <v>704</v>
      </c>
      <c r="H62" s="260">
        <v>0</v>
      </c>
      <c r="I62" s="298" t="s">
        <v>721</v>
      </c>
      <c r="J62" s="260">
        <v>0</v>
      </c>
      <c r="K62" s="260"/>
      <c r="L62" s="260"/>
      <c r="M62" s="299" t="s">
        <v>738</v>
      </c>
      <c r="N62" s="272">
        <v>93.96</v>
      </c>
      <c r="O62" s="267" t="s">
        <v>787</v>
      </c>
      <c r="P62" s="259" t="s">
        <v>39</v>
      </c>
      <c r="Q62" s="282" t="s">
        <v>804</v>
      </c>
      <c r="R62" s="259">
        <f t="shared" si="1"/>
        <v>0</v>
      </c>
      <c r="S62" s="6" t="s">
        <v>770</v>
      </c>
      <c r="T62" s="271">
        <f t="shared" si="2"/>
        <v>100</v>
      </c>
      <c r="U62" s="374">
        <f t="shared" si="0"/>
        <v>100</v>
      </c>
      <c r="AN62" s="67" t="s">
        <v>275</v>
      </c>
      <c r="AO62" s="72">
        <v>1.73E-5</v>
      </c>
      <c r="AP62" s="67" t="s">
        <v>276</v>
      </c>
    </row>
    <row r="63" spans="3:42" x14ac:dyDescent="0.25">
      <c r="D63" s="267" t="s">
        <v>318</v>
      </c>
      <c r="E63" s="275" t="s">
        <v>687</v>
      </c>
      <c r="F63" s="259">
        <v>4.8099999999999996</v>
      </c>
      <c r="G63" s="298" t="s">
        <v>705</v>
      </c>
      <c r="H63" s="259">
        <v>0</v>
      </c>
      <c r="I63" s="298" t="s">
        <v>722</v>
      </c>
      <c r="J63" s="259">
        <v>0</v>
      </c>
      <c r="K63" s="259"/>
      <c r="L63" s="259"/>
      <c r="M63" s="299" t="s">
        <v>739</v>
      </c>
      <c r="N63" s="271">
        <v>94.54</v>
      </c>
      <c r="O63" s="267" t="s">
        <v>788</v>
      </c>
      <c r="P63" s="259" t="s">
        <v>39</v>
      </c>
      <c r="Q63" s="282" t="s">
        <v>805</v>
      </c>
      <c r="R63" s="259">
        <f t="shared" si="1"/>
        <v>0</v>
      </c>
      <c r="S63" s="6" t="s">
        <v>771</v>
      </c>
      <c r="T63" s="271">
        <f t="shared" si="2"/>
        <v>100</v>
      </c>
      <c r="U63" s="374">
        <f t="shared" si="0"/>
        <v>100</v>
      </c>
      <c r="AN63" s="63" t="s">
        <v>263</v>
      </c>
      <c r="AO63" s="73"/>
      <c r="AP63" s="73"/>
    </row>
    <row r="64" spans="3:42" ht="16.5" thickBot="1" x14ac:dyDescent="0.3">
      <c r="D64" s="268" t="s">
        <v>319</v>
      </c>
      <c r="E64" s="275" t="s">
        <v>688</v>
      </c>
      <c r="F64" s="260">
        <v>6.2799999999999994</v>
      </c>
      <c r="G64" s="298" t="s">
        <v>706</v>
      </c>
      <c r="H64" s="260">
        <v>0</v>
      </c>
      <c r="I64" s="298" t="s">
        <v>723</v>
      </c>
      <c r="J64" s="260">
        <v>0</v>
      </c>
      <c r="K64" s="260"/>
      <c r="L64" s="260"/>
      <c r="M64" s="299" t="s">
        <v>740</v>
      </c>
      <c r="N64" s="272">
        <v>93.600000000000009</v>
      </c>
      <c r="O64" s="267" t="s">
        <v>789</v>
      </c>
      <c r="P64" s="259" t="s">
        <v>39</v>
      </c>
      <c r="Q64" s="282" t="s">
        <v>806</v>
      </c>
      <c r="R64" s="259">
        <f t="shared" si="1"/>
        <v>0</v>
      </c>
      <c r="S64" s="6" t="s">
        <v>772</v>
      </c>
      <c r="T64" s="271">
        <f t="shared" si="2"/>
        <v>100</v>
      </c>
      <c r="U64" s="374">
        <f t="shared" si="0"/>
        <v>100</v>
      </c>
      <c r="AN64" s="74" t="s">
        <v>280</v>
      </c>
      <c r="AO64" s="74">
        <v>4.2000000000000002E-4</v>
      </c>
      <c r="AP64" s="74" t="s">
        <v>279</v>
      </c>
    </row>
    <row r="65" spans="3:42" ht="15.75" thickBot="1" x14ac:dyDescent="0.3">
      <c r="D65" s="267" t="s">
        <v>320</v>
      </c>
      <c r="E65" s="275" t="s">
        <v>689</v>
      </c>
      <c r="F65" s="259">
        <v>2.1399999999999997</v>
      </c>
      <c r="G65" s="298" t="s">
        <v>707</v>
      </c>
      <c r="H65" s="259">
        <v>0</v>
      </c>
      <c r="I65" s="298" t="s">
        <v>724</v>
      </c>
      <c r="J65" s="259">
        <v>0</v>
      </c>
      <c r="K65" s="259"/>
      <c r="L65" s="259"/>
      <c r="M65" s="299" t="s">
        <v>741</v>
      </c>
      <c r="N65" s="271">
        <v>98.33</v>
      </c>
      <c r="O65" s="267" t="s">
        <v>790</v>
      </c>
      <c r="P65" s="259" t="s">
        <v>39</v>
      </c>
      <c r="Q65" s="282" t="s">
        <v>807</v>
      </c>
      <c r="R65" s="259">
        <f t="shared" si="1"/>
        <v>0</v>
      </c>
      <c r="S65" s="6" t="s">
        <v>773</v>
      </c>
      <c r="T65" s="271">
        <f t="shared" si="2"/>
        <v>100</v>
      </c>
      <c r="U65" s="374">
        <f t="shared" si="0"/>
        <v>100</v>
      </c>
      <c r="AN65" s="427" t="s">
        <v>284</v>
      </c>
      <c r="AO65" s="427"/>
      <c r="AP65" s="427"/>
    </row>
    <row r="66" spans="3:42" x14ac:dyDescent="0.25">
      <c r="D66" s="268" t="s">
        <v>321</v>
      </c>
      <c r="E66" s="275" t="s">
        <v>690</v>
      </c>
      <c r="F66" s="260">
        <v>5.13</v>
      </c>
      <c r="G66" s="298" t="s">
        <v>708</v>
      </c>
      <c r="H66" s="260">
        <v>0</v>
      </c>
      <c r="I66" s="298" t="s">
        <v>725</v>
      </c>
      <c r="J66" s="260">
        <v>0</v>
      </c>
      <c r="K66" s="260"/>
      <c r="L66" s="260"/>
      <c r="M66" s="299" t="s">
        <v>742</v>
      </c>
      <c r="N66" s="272">
        <v>95.19</v>
      </c>
      <c r="O66" s="267" t="s">
        <v>791</v>
      </c>
      <c r="P66" s="259" t="s">
        <v>39</v>
      </c>
      <c r="Q66" s="282" t="s">
        <v>808</v>
      </c>
      <c r="R66" s="259">
        <f t="shared" si="1"/>
        <v>0</v>
      </c>
      <c r="S66" s="6" t="s">
        <v>774</v>
      </c>
      <c r="T66" s="271">
        <f t="shared" si="2"/>
        <v>100</v>
      </c>
      <c r="U66" s="374">
        <f t="shared" si="0"/>
        <v>100</v>
      </c>
      <c r="AN66" s="63" t="s">
        <v>268</v>
      </c>
      <c r="AO66" s="63" t="s">
        <v>269</v>
      </c>
      <c r="AP66" s="63" t="s">
        <v>32</v>
      </c>
    </row>
    <row r="67" spans="3:42" ht="15.75" x14ac:dyDescent="0.25">
      <c r="D67" s="267" t="s">
        <v>322</v>
      </c>
      <c r="E67" s="275" t="s">
        <v>691</v>
      </c>
      <c r="F67" s="259">
        <v>3.93</v>
      </c>
      <c r="G67" s="298" t="s">
        <v>709</v>
      </c>
      <c r="H67" s="259">
        <v>0</v>
      </c>
      <c r="I67" s="298" t="s">
        <v>726</v>
      </c>
      <c r="J67" s="259">
        <v>0</v>
      </c>
      <c r="K67" s="259"/>
      <c r="L67" s="259"/>
      <c r="M67" s="299" t="s">
        <v>743</v>
      </c>
      <c r="N67" s="271">
        <v>96.240000000000009</v>
      </c>
      <c r="O67" s="267" t="s">
        <v>792</v>
      </c>
      <c r="P67" s="259" t="s">
        <v>39</v>
      </c>
      <c r="Q67" s="282" t="s">
        <v>809</v>
      </c>
      <c r="R67" s="259">
        <f t="shared" si="1"/>
        <v>0</v>
      </c>
      <c r="S67" s="6" t="s">
        <v>775</v>
      </c>
      <c r="T67" s="271">
        <f t="shared" si="2"/>
        <v>100</v>
      </c>
      <c r="U67" s="374">
        <f t="shared" si="0"/>
        <v>100</v>
      </c>
      <c r="AN67" s="67" t="s">
        <v>270</v>
      </c>
      <c r="AO67" s="72">
        <v>9.9099999999999996E-5</v>
      </c>
      <c r="AP67" s="67" t="s">
        <v>271</v>
      </c>
    </row>
    <row r="68" spans="3:42" x14ac:dyDescent="0.25">
      <c r="D68" s="268" t="s">
        <v>323</v>
      </c>
      <c r="E68" s="275" t="s">
        <v>692</v>
      </c>
      <c r="F68" s="260">
        <v>0.45999999999999996</v>
      </c>
      <c r="G68" s="298" t="s">
        <v>710</v>
      </c>
      <c r="H68" s="260">
        <v>0</v>
      </c>
      <c r="I68" s="298" t="s">
        <v>727</v>
      </c>
      <c r="J68" s="260">
        <v>0</v>
      </c>
      <c r="K68" s="260"/>
      <c r="L68" s="260"/>
      <c r="M68" s="299" t="s">
        <v>744</v>
      </c>
      <c r="N68" s="272">
        <v>99.53</v>
      </c>
      <c r="O68" s="267" t="s">
        <v>793</v>
      </c>
      <c r="P68" s="259" t="s">
        <v>39</v>
      </c>
      <c r="Q68" s="282" t="s">
        <v>810</v>
      </c>
      <c r="R68" s="259">
        <f t="shared" si="1"/>
        <v>0</v>
      </c>
      <c r="S68" s="6" t="s">
        <v>776</v>
      </c>
      <c r="T68" s="271">
        <f t="shared" si="2"/>
        <v>100</v>
      </c>
      <c r="U68" s="374">
        <f t="shared" si="0"/>
        <v>100</v>
      </c>
      <c r="AN68" s="63" t="s">
        <v>285</v>
      </c>
      <c r="AO68" s="63"/>
      <c r="AP68" s="63"/>
    </row>
    <row r="69" spans="3:42" ht="15.75" x14ac:dyDescent="0.25">
      <c r="D69" s="267" t="s">
        <v>324</v>
      </c>
      <c r="E69" s="275" t="s">
        <v>693</v>
      </c>
      <c r="F69" s="259">
        <v>0.83</v>
      </c>
      <c r="G69" s="298" t="s">
        <v>711</v>
      </c>
      <c r="H69" s="259">
        <v>0</v>
      </c>
      <c r="I69" s="298" t="s">
        <v>728</v>
      </c>
      <c r="J69" s="259">
        <v>0</v>
      </c>
      <c r="K69" s="259"/>
      <c r="L69" s="259"/>
      <c r="M69" s="299" t="s">
        <v>745</v>
      </c>
      <c r="N69" s="271">
        <v>99.29</v>
      </c>
      <c r="O69" s="267" t="s">
        <v>794</v>
      </c>
      <c r="P69" s="259" t="s">
        <v>39</v>
      </c>
      <c r="Q69" s="282" t="s">
        <v>811</v>
      </c>
      <c r="R69" s="259">
        <f t="shared" si="1"/>
        <v>0</v>
      </c>
      <c r="S69" s="6" t="s">
        <v>777</v>
      </c>
      <c r="T69" s="271">
        <f t="shared" si="2"/>
        <v>100</v>
      </c>
      <c r="U69" s="374">
        <f t="shared" si="0"/>
        <v>100</v>
      </c>
      <c r="AN69" s="67" t="s">
        <v>283</v>
      </c>
      <c r="AO69" s="67">
        <v>4.2000000000000002E-4</v>
      </c>
      <c r="AP69" s="67" t="s">
        <v>279</v>
      </c>
    </row>
    <row r="70" spans="3:42" ht="15.75" x14ac:dyDescent="0.25">
      <c r="D70" s="268" t="s">
        <v>325</v>
      </c>
      <c r="E70" s="275" t="s">
        <v>694</v>
      </c>
      <c r="F70" s="260">
        <v>2.41</v>
      </c>
      <c r="G70" s="298" t="s">
        <v>712</v>
      </c>
      <c r="H70" s="260">
        <v>0</v>
      </c>
      <c r="I70" s="298" t="s">
        <v>729</v>
      </c>
      <c r="J70" s="260">
        <v>0</v>
      </c>
      <c r="K70" s="260"/>
      <c r="L70" s="260"/>
      <c r="M70" s="299" t="s">
        <v>746</v>
      </c>
      <c r="N70" s="272">
        <v>97.1</v>
      </c>
      <c r="O70" s="267" t="s">
        <v>795</v>
      </c>
      <c r="P70" s="259" t="s">
        <v>39</v>
      </c>
      <c r="Q70" s="282" t="s">
        <v>812</v>
      </c>
      <c r="R70" s="259">
        <f t="shared" si="1"/>
        <v>0</v>
      </c>
      <c r="S70" s="6" t="s">
        <v>778</v>
      </c>
      <c r="T70" s="271">
        <f t="shared" si="2"/>
        <v>100</v>
      </c>
      <c r="U70" s="374">
        <f t="shared" si="0"/>
        <v>100</v>
      </c>
      <c r="AN70" s="67" t="s">
        <v>275</v>
      </c>
      <c r="AO70" s="72">
        <v>1.73E-5</v>
      </c>
      <c r="AP70" s="67" t="s">
        <v>286</v>
      </c>
    </row>
    <row r="71" spans="3:42" x14ac:dyDescent="0.25">
      <c r="D71" s="267" t="s">
        <v>326</v>
      </c>
      <c r="E71" s="275" t="s">
        <v>695</v>
      </c>
      <c r="F71" s="259">
        <v>1.58</v>
      </c>
      <c r="G71" s="298" t="s">
        <v>713</v>
      </c>
      <c r="H71" s="259">
        <v>0</v>
      </c>
      <c r="I71" s="298" t="s">
        <v>730</v>
      </c>
      <c r="J71" s="259">
        <v>0</v>
      </c>
      <c r="K71" s="259"/>
      <c r="L71" s="259"/>
      <c r="M71" s="299" t="s">
        <v>747</v>
      </c>
      <c r="N71" s="271">
        <v>98.41</v>
      </c>
      <c r="O71" s="267" t="s">
        <v>796</v>
      </c>
      <c r="P71" s="259" t="s">
        <v>39</v>
      </c>
      <c r="Q71" s="282" t="s">
        <v>813</v>
      </c>
      <c r="R71" s="259">
        <f t="shared" si="1"/>
        <v>0</v>
      </c>
      <c r="S71" s="6" t="s">
        <v>779</v>
      </c>
      <c r="T71" s="271">
        <f t="shared" si="2"/>
        <v>100</v>
      </c>
      <c r="U71" s="374">
        <f t="shared" si="0"/>
        <v>100</v>
      </c>
      <c r="AN71" s="63" t="s">
        <v>287</v>
      </c>
      <c r="AO71" s="63"/>
      <c r="AP71" s="63"/>
    </row>
    <row r="72" spans="3:42" ht="16.5" thickBot="1" x14ac:dyDescent="0.3">
      <c r="D72" s="269" t="s">
        <v>327</v>
      </c>
      <c r="E72" s="276" t="s">
        <v>696</v>
      </c>
      <c r="F72" s="261">
        <v>0.2</v>
      </c>
      <c r="G72" s="300" t="s">
        <v>714</v>
      </c>
      <c r="H72" s="261">
        <v>0</v>
      </c>
      <c r="I72" s="300" t="s">
        <v>731</v>
      </c>
      <c r="J72" s="261">
        <v>0</v>
      </c>
      <c r="K72" s="261"/>
      <c r="L72" s="261"/>
      <c r="M72" s="301" t="s">
        <v>748</v>
      </c>
      <c r="N72" s="273">
        <v>99.61</v>
      </c>
      <c r="O72" s="283" t="s">
        <v>797</v>
      </c>
      <c r="P72" s="284" t="s">
        <v>39</v>
      </c>
      <c r="Q72" s="285" t="s">
        <v>814</v>
      </c>
      <c r="R72" s="284">
        <f t="shared" si="1"/>
        <v>0</v>
      </c>
      <c r="S72" s="109" t="s">
        <v>780</v>
      </c>
      <c r="T72" s="286">
        <f t="shared" si="2"/>
        <v>100</v>
      </c>
      <c r="U72" s="375">
        <f t="shared" si="0"/>
        <v>100</v>
      </c>
      <c r="AN72" s="67" t="s">
        <v>283</v>
      </c>
      <c r="AO72" s="67">
        <v>4.2000000000000002E-4</v>
      </c>
      <c r="AP72" s="67" t="s">
        <v>279</v>
      </c>
    </row>
    <row r="73" spans="3:42" ht="15.75" x14ac:dyDescent="0.25">
      <c r="D73" s="76"/>
      <c r="AN73" s="67" t="s">
        <v>275</v>
      </c>
      <c r="AO73" s="72">
        <v>1.73E-5</v>
      </c>
      <c r="AP73" s="67" t="s">
        <v>276</v>
      </c>
    </row>
    <row r="74" spans="3:42" x14ac:dyDescent="0.25">
      <c r="AN74" s="63" t="s">
        <v>263</v>
      </c>
      <c r="AO74" s="63"/>
      <c r="AP74" s="63"/>
    </row>
    <row r="75" spans="3:42" ht="16.5" thickBot="1" x14ac:dyDescent="0.3">
      <c r="AN75" s="74" t="s">
        <v>280</v>
      </c>
      <c r="AO75" s="74">
        <v>4.2000000000000002E-4</v>
      </c>
      <c r="AP75" s="74" t="s">
        <v>279</v>
      </c>
    </row>
    <row r="76" spans="3:42" x14ac:dyDescent="0.25">
      <c r="AN76" s="55" t="s">
        <v>288</v>
      </c>
    </row>
    <row r="77" spans="3:42" x14ac:dyDescent="0.25">
      <c r="C77" s="410" t="s">
        <v>985</v>
      </c>
      <c r="D77" s="25"/>
      <c r="AN77" s="76" t="s">
        <v>289</v>
      </c>
    </row>
    <row r="79" spans="3:42" x14ac:dyDescent="0.25">
      <c r="C79" s="18" t="s">
        <v>1126</v>
      </c>
    </row>
    <row r="80" spans="3:42" ht="15.75" thickBot="1" x14ac:dyDescent="0.3">
      <c r="C80" s="135" t="s">
        <v>1123</v>
      </c>
      <c r="D80" s="60"/>
      <c r="AM80" s="136" t="s">
        <v>300</v>
      </c>
      <c r="AN80" s="60"/>
    </row>
    <row r="81" spans="3:43" ht="15.75" thickBot="1" x14ac:dyDescent="0.3">
      <c r="D81" s="117" t="s">
        <v>368</v>
      </c>
      <c r="E81" s="212" t="s">
        <v>369</v>
      </c>
      <c r="F81" s="289" t="s">
        <v>817</v>
      </c>
      <c r="G81" s="290" t="s">
        <v>818</v>
      </c>
      <c r="H81" s="289" t="s">
        <v>119</v>
      </c>
      <c r="I81" s="290" t="s">
        <v>370</v>
      </c>
      <c r="AN81" s="444" t="s">
        <v>290</v>
      </c>
      <c r="AO81" s="444"/>
      <c r="AP81" s="444"/>
      <c r="AQ81" s="444"/>
    </row>
    <row r="82" spans="3:43" ht="17.25" thickTop="1" thickBot="1" x14ac:dyDescent="0.3">
      <c r="C82" s="419" t="s">
        <v>1050</v>
      </c>
      <c r="D82" s="122" t="s">
        <v>373</v>
      </c>
      <c r="E82" s="288" t="s">
        <v>372</v>
      </c>
      <c r="F82" s="294" t="s">
        <v>819</v>
      </c>
      <c r="G82" s="295" t="s">
        <v>668</v>
      </c>
      <c r="H82" s="291">
        <v>13.5</v>
      </c>
      <c r="I82" s="123">
        <v>86.5</v>
      </c>
      <c r="AN82" s="442" t="s">
        <v>201</v>
      </c>
      <c r="AO82" s="74"/>
      <c r="AP82" s="78" t="s">
        <v>291</v>
      </c>
      <c r="AQ82" s="77" t="s">
        <v>292</v>
      </c>
    </row>
    <row r="83" spans="3:43" ht="15.75" thickBot="1" x14ac:dyDescent="0.3">
      <c r="C83" s="421" t="s">
        <v>1051</v>
      </c>
      <c r="D83" s="119" t="s">
        <v>374</v>
      </c>
      <c r="E83" s="287" t="s">
        <v>372</v>
      </c>
      <c r="F83" s="330" t="s">
        <v>820</v>
      </c>
      <c r="G83" s="331" t="s">
        <v>673</v>
      </c>
      <c r="H83" s="292">
        <v>19</v>
      </c>
      <c r="I83" s="293">
        <v>81</v>
      </c>
      <c r="AN83" s="439"/>
      <c r="AO83" s="75" t="s">
        <v>293</v>
      </c>
      <c r="AP83" s="79">
        <v>56344</v>
      </c>
      <c r="AQ83" s="80">
        <v>0.53039999999999998</v>
      </c>
    </row>
    <row r="84" spans="3:43" ht="15.75" thickBot="1" x14ac:dyDescent="0.3">
      <c r="D84" s="97" t="s">
        <v>1124</v>
      </c>
      <c r="AN84" s="440"/>
      <c r="AO84" s="78" t="s">
        <v>294</v>
      </c>
      <c r="AP84" s="81">
        <v>49881</v>
      </c>
      <c r="AQ84" s="82">
        <v>0.46960000000000002</v>
      </c>
    </row>
    <row r="85" spans="3:43" ht="16.5" thickBot="1" x14ac:dyDescent="0.3">
      <c r="AN85" s="438" t="s">
        <v>301</v>
      </c>
      <c r="AO85" s="74"/>
      <c r="AP85" s="78" t="s">
        <v>291</v>
      </c>
      <c r="AQ85" s="77" t="s">
        <v>295</v>
      </c>
    </row>
    <row r="86" spans="3:43" x14ac:dyDescent="0.25">
      <c r="AN86" s="439"/>
      <c r="AO86" s="75" t="s">
        <v>296</v>
      </c>
      <c r="AP86" s="75">
        <v>986.14</v>
      </c>
      <c r="AQ86" s="80">
        <v>0.66810000000000003</v>
      </c>
    </row>
    <row r="87" spans="3:43" x14ac:dyDescent="0.25">
      <c r="AN87" s="439"/>
      <c r="AO87" s="77" t="s">
        <v>297</v>
      </c>
      <c r="AP87" s="77">
        <v>482.32</v>
      </c>
      <c r="AQ87" s="83">
        <v>0.32800000000000001</v>
      </c>
    </row>
    <row r="88" spans="3:43" ht="15.75" thickBot="1" x14ac:dyDescent="0.3">
      <c r="C88" s="18" t="s">
        <v>986</v>
      </c>
      <c r="AN88" s="440"/>
      <c r="AO88" s="84" t="s">
        <v>298</v>
      </c>
      <c r="AP88" s="84">
        <v>5.65</v>
      </c>
      <c r="AQ88" s="85">
        <v>3.8E-3</v>
      </c>
    </row>
    <row r="89" spans="3:43" ht="15.75" thickBot="1" x14ac:dyDescent="0.3">
      <c r="C89" s="135" t="s">
        <v>1125</v>
      </c>
      <c r="D89" s="60"/>
      <c r="AN89" s="441" t="s">
        <v>299</v>
      </c>
      <c r="AO89" s="441"/>
      <c r="AP89" s="441"/>
      <c r="AQ89" s="441"/>
    </row>
    <row r="90" spans="3:43" ht="16.5" thickBot="1" x14ac:dyDescent="0.3">
      <c r="D90" s="117" t="s">
        <v>368</v>
      </c>
      <c r="E90" s="118" t="s">
        <v>369</v>
      </c>
      <c r="F90" s="118" t="s">
        <v>821</v>
      </c>
      <c r="G90" s="118" t="s">
        <v>377</v>
      </c>
      <c r="H90" s="118" t="s">
        <v>822</v>
      </c>
      <c r="I90" s="118" t="s">
        <v>378</v>
      </c>
      <c r="J90" s="118" t="s">
        <v>823</v>
      </c>
      <c r="K90" s="118" t="s">
        <v>379</v>
      </c>
      <c r="L90" s="118" t="s">
        <v>824</v>
      </c>
      <c r="M90" s="118" t="s">
        <v>380</v>
      </c>
      <c r="N90" s="118" t="s">
        <v>825</v>
      </c>
      <c r="O90" s="118" t="s">
        <v>381</v>
      </c>
      <c r="AN90" s="442" t="s">
        <v>201</v>
      </c>
      <c r="AO90" s="78"/>
      <c r="AP90" s="78" t="s">
        <v>291</v>
      </c>
      <c r="AQ90" s="77" t="s">
        <v>292</v>
      </c>
    </row>
    <row r="91" spans="3:43" ht="16.5" thickTop="1" thickBot="1" x14ac:dyDescent="0.3">
      <c r="D91" s="125" t="s">
        <v>371</v>
      </c>
      <c r="E91" s="120" t="s">
        <v>382</v>
      </c>
      <c r="F91" s="120" t="s">
        <v>826</v>
      </c>
      <c r="G91" s="120">
        <v>2.2999999999999998</v>
      </c>
      <c r="H91" s="120" t="s">
        <v>829</v>
      </c>
      <c r="I91" s="120">
        <v>2.8000000000000003</v>
      </c>
      <c r="J91" s="120" t="s">
        <v>832</v>
      </c>
      <c r="K91" s="120">
        <v>32.5</v>
      </c>
      <c r="L91" s="120" t="s">
        <v>835</v>
      </c>
      <c r="M91" s="120">
        <v>12.1</v>
      </c>
      <c r="N91" s="120" t="s">
        <v>838</v>
      </c>
      <c r="O91" s="120">
        <v>8.4</v>
      </c>
      <c r="AN91" s="439"/>
      <c r="AO91" s="75" t="s">
        <v>293</v>
      </c>
      <c r="AP91" s="75">
        <v>8128</v>
      </c>
      <c r="AQ91" s="80">
        <v>0.47639999999999999</v>
      </c>
    </row>
    <row r="92" spans="3:43" ht="15.75" thickBot="1" x14ac:dyDescent="0.3">
      <c r="C92" s="419" t="s">
        <v>1050</v>
      </c>
      <c r="D92" s="126" t="s">
        <v>373</v>
      </c>
      <c r="E92" s="295" t="s">
        <v>382</v>
      </c>
      <c r="F92" s="295" t="s">
        <v>827</v>
      </c>
      <c r="G92" s="295">
        <v>2.1</v>
      </c>
      <c r="H92" s="295" t="s">
        <v>830</v>
      </c>
      <c r="I92" s="295">
        <v>3</v>
      </c>
      <c r="J92" s="295" t="s">
        <v>833</v>
      </c>
      <c r="K92" s="295">
        <v>27.700000000000003</v>
      </c>
      <c r="L92" s="295" t="s">
        <v>836</v>
      </c>
      <c r="M92" s="295">
        <v>10.299999999999999</v>
      </c>
      <c r="N92" s="295" t="s">
        <v>839</v>
      </c>
      <c r="O92" s="295">
        <v>6.1</v>
      </c>
      <c r="AN92" s="440"/>
      <c r="AO92" s="78" t="s">
        <v>294</v>
      </c>
      <c r="AP92" s="78">
        <v>8935</v>
      </c>
      <c r="AQ92" s="82">
        <v>0.52359999999999995</v>
      </c>
    </row>
    <row r="93" spans="3:43" ht="16.5" thickBot="1" x14ac:dyDescent="0.3">
      <c r="C93" s="421" t="s">
        <v>1051</v>
      </c>
      <c r="D93" s="125" t="s">
        <v>374</v>
      </c>
      <c r="E93" s="120" t="s">
        <v>382</v>
      </c>
      <c r="F93" s="295" t="s">
        <v>828</v>
      </c>
      <c r="G93" s="295">
        <v>0.70000000000000007</v>
      </c>
      <c r="H93" s="295" t="s">
        <v>831</v>
      </c>
      <c r="I93" s="295">
        <v>3.1</v>
      </c>
      <c r="J93" s="295" t="s">
        <v>834</v>
      </c>
      <c r="K93" s="295">
        <v>31</v>
      </c>
      <c r="L93" s="295" t="s">
        <v>837</v>
      </c>
      <c r="M93" s="295">
        <v>11.4</v>
      </c>
      <c r="N93" s="295" t="s">
        <v>840</v>
      </c>
      <c r="O93" s="295">
        <v>7.5</v>
      </c>
      <c r="AN93" s="438" t="s">
        <v>200</v>
      </c>
      <c r="AO93" s="74"/>
      <c r="AP93" s="78" t="s">
        <v>291</v>
      </c>
      <c r="AQ93" s="77" t="s">
        <v>295</v>
      </c>
    </row>
    <row r="94" spans="3:43" x14ac:dyDescent="0.25">
      <c r="D94" s="76" t="s">
        <v>383</v>
      </c>
      <c r="J94" t="s">
        <v>852</v>
      </c>
      <c r="AN94" s="439"/>
      <c r="AO94" s="75" t="s">
        <v>296</v>
      </c>
      <c r="AP94" s="75">
        <v>394.46</v>
      </c>
      <c r="AQ94" s="80">
        <v>0.74480000000000002</v>
      </c>
    </row>
    <row r="95" spans="3:43" x14ac:dyDescent="0.25">
      <c r="AN95" s="439"/>
      <c r="AO95" s="77" t="s">
        <v>297</v>
      </c>
      <c r="AP95" s="77">
        <v>133.53</v>
      </c>
      <c r="AQ95" s="83">
        <v>0.25309999999999999</v>
      </c>
    </row>
    <row r="96" spans="3:43" ht="15.75" thickBot="1" x14ac:dyDescent="0.3">
      <c r="AN96" s="440"/>
      <c r="AO96" s="84" t="s">
        <v>298</v>
      </c>
      <c r="AP96" s="84">
        <v>1.1299999999999999</v>
      </c>
      <c r="AQ96" s="85">
        <v>2.0999999999999999E-3</v>
      </c>
    </row>
    <row r="99" spans="3:50" ht="15.75" thickBot="1" x14ac:dyDescent="0.3">
      <c r="C99" s="421" t="s">
        <v>1122</v>
      </c>
      <c r="AM99" s="137" t="s">
        <v>302</v>
      </c>
    </row>
    <row r="100" spans="3:50" x14ac:dyDescent="0.25">
      <c r="AN100" s="437" t="s">
        <v>303</v>
      </c>
      <c r="AO100" s="437"/>
      <c r="AP100" s="437"/>
      <c r="AQ100" s="89"/>
      <c r="AR100" s="437" t="s">
        <v>304</v>
      </c>
      <c r="AS100" s="437"/>
      <c r="AT100" s="437"/>
      <c r="AU100" s="89"/>
      <c r="AV100" s="437" t="s">
        <v>305</v>
      </c>
      <c r="AW100" s="437"/>
      <c r="AX100" s="437"/>
    </row>
    <row r="101" spans="3:50" ht="15.75" thickBot="1" x14ac:dyDescent="0.3">
      <c r="D101" s="182" t="s">
        <v>511</v>
      </c>
      <c r="E101" s="182" t="s">
        <v>31</v>
      </c>
      <c r="F101" s="182" t="s">
        <v>407</v>
      </c>
      <c r="G101" s="182" t="s">
        <v>936</v>
      </c>
      <c r="H101" s="182" t="s">
        <v>937</v>
      </c>
      <c r="I101" s="182" t="s">
        <v>408</v>
      </c>
      <c r="J101" s="182" t="s">
        <v>32</v>
      </c>
      <c r="K101" s="182" t="s">
        <v>932</v>
      </c>
      <c r="L101" s="182" t="s">
        <v>938</v>
      </c>
      <c r="M101" s="182" t="s">
        <v>952</v>
      </c>
      <c r="N101" s="182" t="s">
        <v>995</v>
      </c>
      <c r="O101" s="182" t="s">
        <v>571</v>
      </c>
      <c r="AN101" s="74"/>
      <c r="AO101" s="74" t="s">
        <v>306</v>
      </c>
      <c r="AP101" s="74" t="s">
        <v>307</v>
      </c>
      <c r="AQ101" s="74"/>
      <c r="AR101" s="74" t="s">
        <v>308</v>
      </c>
      <c r="AS101" s="74" t="s">
        <v>309</v>
      </c>
      <c r="AT101" s="74" t="s">
        <v>307</v>
      </c>
      <c r="AU101" s="74"/>
      <c r="AV101" s="74" t="s">
        <v>308</v>
      </c>
      <c r="AW101" s="74" t="s">
        <v>309</v>
      </c>
      <c r="AX101" s="74" t="s">
        <v>307</v>
      </c>
    </row>
    <row r="102" spans="3:50" x14ac:dyDescent="0.25">
      <c r="D102" s="179" t="s">
        <v>990</v>
      </c>
      <c r="E102" s="179" t="s">
        <v>988</v>
      </c>
      <c r="F102" s="351">
        <v>0.48870780983266937</v>
      </c>
      <c r="G102" s="179"/>
      <c r="H102" s="179"/>
      <c r="I102" s="179">
        <f>U117</f>
        <v>0</v>
      </c>
      <c r="J102" s="179"/>
      <c r="K102" s="179"/>
      <c r="L102" s="179" t="s">
        <v>989</v>
      </c>
      <c r="M102" s="179"/>
      <c r="N102" s="179"/>
      <c r="O102" s="179"/>
      <c r="AN102" s="90" t="s">
        <v>310</v>
      </c>
      <c r="AO102" s="91">
        <v>0.98</v>
      </c>
      <c r="AP102" s="91">
        <v>0.02</v>
      </c>
      <c r="AQ102" s="67"/>
      <c r="AR102" s="90" t="s">
        <v>39</v>
      </c>
      <c r="AS102" s="91">
        <v>0</v>
      </c>
      <c r="AT102" s="91">
        <v>1</v>
      </c>
      <c r="AU102" s="67"/>
      <c r="AV102" s="90" t="s">
        <v>39</v>
      </c>
      <c r="AW102" s="93">
        <v>0.01</v>
      </c>
      <c r="AX102" s="91">
        <v>0.9919</v>
      </c>
    </row>
    <row r="103" spans="3:50" x14ac:dyDescent="0.25">
      <c r="D103" s="179" t="s">
        <v>991</v>
      </c>
      <c r="E103" s="178" t="s">
        <v>853</v>
      </c>
      <c r="F103" s="352">
        <v>0.45</v>
      </c>
      <c r="G103" s="179"/>
      <c r="H103" s="179"/>
      <c r="I103" s="179">
        <f>U118</f>
        <v>0</v>
      </c>
      <c r="J103" s="179"/>
      <c r="K103" s="179"/>
      <c r="L103" s="179" t="s">
        <v>994</v>
      </c>
      <c r="M103" s="179"/>
      <c r="N103" s="179"/>
      <c r="O103" s="179"/>
      <c r="AN103" s="67" t="s">
        <v>311</v>
      </c>
      <c r="AO103" s="94">
        <v>9.64E-2</v>
      </c>
      <c r="AP103" s="94">
        <v>0.90359999999999996</v>
      </c>
      <c r="AQ103" s="64"/>
      <c r="AR103" s="94">
        <v>3.5999999999999999E-3</v>
      </c>
      <c r="AS103" s="67" t="s">
        <v>39</v>
      </c>
      <c r="AT103" s="94">
        <v>0.99639999999999995</v>
      </c>
      <c r="AU103" s="64"/>
      <c r="AV103" s="94">
        <v>3.4599999999999999E-2</v>
      </c>
      <c r="AW103" s="67" t="s">
        <v>39</v>
      </c>
      <c r="AX103" s="94">
        <v>0.96540000000000004</v>
      </c>
    </row>
    <row r="104" spans="3:50" x14ac:dyDescent="0.25">
      <c r="AN104" s="90" t="s">
        <v>312</v>
      </c>
      <c r="AO104" s="91">
        <v>7.2999999999999995E-2</v>
      </c>
      <c r="AP104" s="91">
        <v>0.92700000000000005</v>
      </c>
      <c r="AQ104" s="64"/>
      <c r="AR104" s="91">
        <v>6.3E-3</v>
      </c>
      <c r="AS104" s="90" t="s">
        <v>39</v>
      </c>
      <c r="AT104" s="91">
        <v>0.99370000000000003</v>
      </c>
      <c r="AU104" s="64"/>
      <c r="AV104" s="91">
        <v>5.9799999999999999E-2</v>
      </c>
      <c r="AW104" s="90" t="s">
        <v>39</v>
      </c>
      <c r="AX104" s="91">
        <v>0.94020000000000004</v>
      </c>
    </row>
    <row r="105" spans="3:50" x14ac:dyDescent="0.25">
      <c r="AN105" s="67" t="s">
        <v>313</v>
      </c>
      <c r="AO105" s="94">
        <v>7.6399999999999996E-2</v>
      </c>
      <c r="AP105" s="94">
        <v>0.92359999999999998</v>
      </c>
      <c r="AQ105" s="64"/>
      <c r="AR105" s="94">
        <v>1.14E-2</v>
      </c>
      <c r="AS105" s="67" t="s">
        <v>39</v>
      </c>
      <c r="AT105" s="94">
        <v>0.98860000000000003</v>
      </c>
      <c r="AU105" s="64"/>
      <c r="AV105" s="94">
        <v>0.1077</v>
      </c>
      <c r="AW105" s="67" t="s">
        <v>39</v>
      </c>
      <c r="AX105" s="94">
        <v>0.89229999999999998</v>
      </c>
    </row>
    <row r="106" spans="3:50" x14ac:dyDescent="0.25">
      <c r="AN106" s="90" t="s">
        <v>314</v>
      </c>
      <c r="AO106" s="91">
        <v>7.0400000000000004E-2</v>
      </c>
      <c r="AP106" s="91">
        <v>0.92959999999999998</v>
      </c>
      <c r="AQ106" s="64"/>
      <c r="AR106" s="91">
        <v>2E-3</v>
      </c>
      <c r="AS106" s="90" t="s">
        <v>39</v>
      </c>
      <c r="AT106" s="91">
        <v>0.998</v>
      </c>
      <c r="AU106" s="64"/>
      <c r="AV106" s="91">
        <v>2.8400000000000002E-2</v>
      </c>
      <c r="AW106" s="90" t="s">
        <v>39</v>
      </c>
      <c r="AX106" s="91">
        <v>0.97160000000000002</v>
      </c>
    </row>
    <row r="107" spans="3:50" x14ac:dyDescent="0.25">
      <c r="AN107" s="67" t="s">
        <v>199</v>
      </c>
      <c r="AO107" s="94">
        <v>6.3799999999999996E-2</v>
      </c>
      <c r="AP107" s="94">
        <v>0.93620000000000003</v>
      </c>
      <c r="AQ107" s="64"/>
      <c r="AR107" s="94">
        <v>0</v>
      </c>
      <c r="AS107" s="67" t="s">
        <v>39</v>
      </c>
      <c r="AT107" s="94">
        <v>1</v>
      </c>
      <c r="AU107" s="64"/>
      <c r="AV107" s="94">
        <v>0</v>
      </c>
      <c r="AW107" s="67" t="s">
        <v>39</v>
      </c>
      <c r="AX107" s="94">
        <v>1</v>
      </c>
    </row>
    <row r="108" spans="3:50" x14ac:dyDescent="0.25">
      <c r="AN108" s="90" t="s">
        <v>315</v>
      </c>
      <c r="AO108" s="91">
        <v>0.1094</v>
      </c>
      <c r="AP108" s="91">
        <v>0.89059999999999995</v>
      </c>
      <c r="AQ108" s="64"/>
      <c r="AR108" s="91">
        <v>0</v>
      </c>
      <c r="AS108" s="90" t="s">
        <v>39</v>
      </c>
      <c r="AT108" s="91">
        <v>1</v>
      </c>
      <c r="AU108" s="64"/>
      <c r="AV108" s="91">
        <v>0</v>
      </c>
      <c r="AW108" s="90" t="s">
        <v>39</v>
      </c>
      <c r="AX108" s="91">
        <v>1</v>
      </c>
    </row>
    <row r="109" spans="3:50" ht="15.75" x14ac:dyDescent="0.25">
      <c r="AN109" s="67" t="s">
        <v>316</v>
      </c>
      <c r="AO109" s="94">
        <v>6.3799999999999996E-2</v>
      </c>
      <c r="AP109" s="94">
        <v>0.93620000000000003</v>
      </c>
      <c r="AQ109" s="64"/>
      <c r="AR109" s="94">
        <v>0</v>
      </c>
      <c r="AS109" s="67" t="s">
        <v>39</v>
      </c>
      <c r="AT109" s="94">
        <v>1.175</v>
      </c>
      <c r="AU109" s="64"/>
      <c r="AV109" s="94">
        <v>0</v>
      </c>
      <c r="AW109" s="67" t="s">
        <v>39</v>
      </c>
      <c r="AX109" s="94">
        <v>2.2000000000000002</v>
      </c>
    </row>
    <row r="110" spans="3:50" ht="15.75" x14ac:dyDescent="0.25">
      <c r="AN110" s="90" t="s">
        <v>317</v>
      </c>
      <c r="AO110" s="91">
        <v>0.1094</v>
      </c>
      <c r="AP110" s="91">
        <v>0.89059999999999995</v>
      </c>
      <c r="AQ110" s="64"/>
      <c r="AR110" s="91">
        <v>0</v>
      </c>
      <c r="AS110" s="90" t="s">
        <v>39</v>
      </c>
      <c r="AT110" s="91">
        <v>1</v>
      </c>
      <c r="AU110" s="64"/>
      <c r="AV110" s="91">
        <v>0</v>
      </c>
      <c r="AW110" s="90" t="s">
        <v>39</v>
      </c>
      <c r="AX110" s="91">
        <v>0</v>
      </c>
    </row>
    <row r="111" spans="3:50" x14ac:dyDescent="0.25">
      <c r="AN111" s="67" t="s">
        <v>318</v>
      </c>
      <c r="AO111" s="94">
        <v>0.27460000000000001</v>
      </c>
      <c r="AP111" s="94">
        <v>0.72540000000000004</v>
      </c>
      <c r="AQ111" s="64"/>
      <c r="AR111" s="94">
        <v>0</v>
      </c>
      <c r="AS111" s="67" t="s">
        <v>39</v>
      </c>
      <c r="AT111" s="94">
        <v>1</v>
      </c>
      <c r="AU111" s="64"/>
      <c r="AV111" s="94">
        <v>0</v>
      </c>
      <c r="AW111" s="67" t="s">
        <v>39</v>
      </c>
      <c r="AX111" s="94">
        <v>1</v>
      </c>
    </row>
    <row r="112" spans="3:50" x14ac:dyDescent="0.25">
      <c r="AN112" s="90" t="s">
        <v>319</v>
      </c>
      <c r="AO112" s="91">
        <v>0.25800000000000001</v>
      </c>
      <c r="AP112" s="91">
        <v>0.74199999999999999</v>
      </c>
      <c r="AQ112" s="64"/>
      <c r="AR112" s="91">
        <v>0</v>
      </c>
      <c r="AS112" s="90" t="s">
        <v>39</v>
      </c>
      <c r="AT112" s="91">
        <v>1</v>
      </c>
      <c r="AU112" s="64"/>
      <c r="AV112" s="91">
        <v>0</v>
      </c>
      <c r="AW112" s="90" t="s">
        <v>39</v>
      </c>
      <c r="AX112" s="91">
        <v>1</v>
      </c>
    </row>
    <row r="113" spans="39:50" x14ac:dyDescent="0.25">
      <c r="AN113" s="67" t="s">
        <v>320</v>
      </c>
      <c r="AO113" s="94">
        <v>0.10340000000000001</v>
      </c>
      <c r="AP113" s="94">
        <v>0.89659999999999995</v>
      </c>
      <c r="AQ113" s="64"/>
      <c r="AR113" s="94">
        <v>0</v>
      </c>
      <c r="AS113" s="67" t="s">
        <v>39</v>
      </c>
      <c r="AT113" s="94">
        <v>1</v>
      </c>
      <c r="AU113" s="64"/>
      <c r="AV113" s="94">
        <v>0</v>
      </c>
      <c r="AW113" s="67" t="s">
        <v>39</v>
      </c>
      <c r="AX113" s="94">
        <v>1</v>
      </c>
    </row>
    <row r="114" spans="39:50" x14ac:dyDescent="0.25">
      <c r="AN114" s="90" t="s">
        <v>321</v>
      </c>
      <c r="AO114" s="91">
        <v>0.10290000000000001</v>
      </c>
      <c r="AP114" s="91">
        <v>0.89710000000000001</v>
      </c>
      <c r="AQ114" s="64"/>
      <c r="AR114" s="91">
        <v>0</v>
      </c>
      <c r="AS114" s="90" t="s">
        <v>39</v>
      </c>
      <c r="AT114" s="91">
        <v>1</v>
      </c>
      <c r="AU114" s="64"/>
      <c r="AV114" s="91">
        <v>0</v>
      </c>
      <c r="AW114" s="90" t="s">
        <v>39</v>
      </c>
      <c r="AX114" s="91">
        <v>1</v>
      </c>
    </row>
    <row r="115" spans="39:50" x14ac:dyDescent="0.25">
      <c r="AN115" s="67" t="s">
        <v>322</v>
      </c>
      <c r="AO115" s="94">
        <v>7.6600000000000001E-2</v>
      </c>
      <c r="AP115" s="94">
        <v>0.9234</v>
      </c>
      <c r="AQ115" s="64"/>
      <c r="AR115" s="94">
        <v>0</v>
      </c>
      <c r="AS115" s="67" t="s">
        <v>39</v>
      </c>
      <c r="AT115" s="94">
        <v>1</v>
      </c>
      <c r="AU115" s="64"/>
      <c r="AV115" s="94">
        <v>0</v>
      </c>
      <c r="AW115" s="67" t="s">
        <v>39</v>
      </c>
      <c r="AX115" s="94">
        <v>1</v>
      </c>
    </row>
    <row r="116" spans="39:50" x14ac:dyDescent="0.25">
      <c r="AN116" s="90" t="s">
        <v>323</v>
      </c>
      <c r="AO116" s="91">
        <v>6.5100000000000005E-2</v>
      </c>
      <c r="AP116" s="91">
        <v>0.93489999999999995</v>
      </c>
      <c r="AQ116" s="64"/>
      <c r="AR116" s="91">
        <v>0</v>
      </c>
      <c r="AS116" s="90" t="s">
        <v>39</v>
      </c>
      <c r="AT116" s="91">
        <v>1</v>
      </c>
      <c r="AU116" s="64"/>
      <c r="AV116" s="91">
        <v>0</v>
      </c>
      <c r="AW116" s="90" t="s">
        <v>39</v>
      </c>
      <c r="AX116" s="91">
        <v>1</v>
      </c>
    </row>
    <row r="117" spans="39:50" x14ac:dyDescent="0.25">
      <c r="AN117" s="67" t="s">
        <v>324</v>
      </c>
      <c r="AO117" s="94">
        <v>3.9600000000000003E-2</v>
      </c>
      <c r="AP117" s="94">
        <v>0.96040000000000003</v>
      </c>
      <c r="AQ117" s="64"/>
      <c r="AR117" s="94">
        <v>0</v>
      </c>
      <c r="AS117" s="67" t="s">
        <v>39</v>
      </c>
      <c r="AT117" s="94">
        <v>1</v>
      </c>
      <c r="AU117" s="64"/>
      <c r="AV117" s="94">
        <v>0</v>
      </c>
      <c r="AW117" s="67" t="s">
        <v>39</v>
      </c>
      <c r="AX117" s="94">
        <v>1</v>
      </c>
    </row>
    <row r="118" spans="39:50" x14ac:dyDescent="0.25">
      <c r="AN118" s="90" t="s">
        <v>325</v>
      </c>
      <c r="AO118" s="91">
        <v>3.9600000000000003E-2</v>
      </c>
      <c r="AP118" s="91">
        <v>0.96040000000000003</v>
      </c>
      <c r="AQ118" s="64"/>
      <c r="AR118" s="91">
        <v>0</v>
      </c>
      <c r="AS118" s="90" t="s">
        <v>39</v>
      </c>
      <c r="AT118" s="91">
        <v>1</v>
      </c>
      <c r="AU118" s="64"/>
      <c r="AV118" s="91">
        <v>0</v>
      </c>
      <c r="AW118" s="90" t="s">
        <v>39</v>
      </c>
      <c r="AX118" s="91">
        <v>1</v>
      </c>
    </row>
    <row r="119" spans="39:50" x14ac:dyDescent="0.25">
      <c r="AN119" s="67" t="s">
        <v>326</v>
      </c>
      <c r="AO119" s="94">
        <v>4.58E-2</v>
      </c>
      <c r="AP119" s="94">
        <v>0.95420000000000005</v>
      </c>
      <c r="AQ119" s="64"/>
      <c r="AR119" s="94">
        <v>0</v>
      </c>
      <c r="AS119" s="67" t="s">
        <v>39</v>
      </c>
      <c r="AT119" s="94">
        <v>1</v>
      </c>
      <c r="AU119" s="64"/>
      <c r="AV119" s="94">
        <v>0</v>
      </c>
      <c r="AW119" s="67" t="s">
        <v>39</v>
      </c>
      <c r="AX119" s="94">
        <v>1</v>
      </c>
    </row>
    <row r="120" spans="39:50" ht="15.75" thickBot="1" x14ac:dyDescent="0.3">
      <c r="AN120" s="95" t="s">
        <v>327</v>
      </c>
      <c r="AO120" s="96">
        <v>6.0499999999999998E-2</v>
      </c>
      <c r="AP120" s="96">
        <v>0.9395</v>
      </c>
      <c r="AQ120" s="74"/>
      <c r="AR120" s="96">
        <v>0</v>
      </c>
      <c r="AS120" s="95" t="s">
        <v>39</v>
      </c>
      <c r="AT120" s="96">
        <v>1</v>
      </c>
      <c r="AU120" s="74"/>
      <c r="AV120" s="96">
        <v>0</v>
      </c>
      <c r="AW120" s="95" t="s">
        <v>39</v>
      </c>
      <c r="AX120" s="96">
        <v>1</v>
      </c>
    </row>
    <row r="121" spans="39:50" x14ac:dyDescent="0.25">
      <c r="AN121" s="76" t="s">
        <v>328</v>
      </c>
    </row>
    <row r="122" spans="39:50" x14ac:dyDescent="0.25">
      <c r="AN122" s="97" t="s">
        <v>329</v>
      </c>
    </row>
    <row r="123" spans="39:50" x14ac:dyDescent="0.25">
      <c r="AN123" s="97" t="s">
        <v>330</v>
      </c>
    </row>
    <row r="124" spans="39:50" x14ac:dyDescent="0.25">
      <c r="AN124" s="97" t="s">
        <v>331</v>
      </c>
    </row>
    <row r="126" spans="39:50" ht="16.5" thickBot="1" x14ac:dyDescent="0.3">
      <c r="AM126" s="135" t="s">
        <v>332</v>
      </c>
    </row>
    <row r="127" spans="39:50" ht="15.75" thickBot="1" x14ac:dyDescent="0.3">
      <c r="AN127" s="427" t="s">
        <v>333</v>
      </c>
      <c r="AO127" s="427"/>
      <c r="AP127" s="427"/>
      <c r="AQ127" s="427"/>
    </row>
    <row r="128" spans="39:50" ht="16.5" thickBot="1" x14ac:dyDescent="0.3">
      <c r="AN128" s="442" t="s">
        <v>201</v>
      </c>
      <c r="AO128" s="78"/>
      <c r="AP128" s="78" t="s">
        <v>291</v>
      </c>
      <c r="AQ128" s="77" t="s">
        <v>292</v>
      </c>
    </row>
    <row r="129" spans="40:52" x14ac:dyDescent="0.25">
      <c r="AN129" s="439"/>
      <c r="AO129" s="75" t="s">
        <v>293</v>
      </c>
      <c r="AP129" s="79">
        <v>21257</v>
      </c>
      <c r="AQ129" s="80">
        <v>0.93010000000000004</v>
      </c>
    </row>
    <row r="130" spans="40:52" ht="15.75" thickBot="1" x14ac:dyDescent="0.3">
      <c r="AN130" s="440"/>
      <c r="AO130" s="78" t="s">
        <v>294</v>
      </c>
      <c r="AP130" s="81">
        <v>1597</v>
      </c>
      <c r="AQ130" s="82">
        <v>6.9900000000000004E-2</v>
      </c>
    </row>
    <row r="131" spans="40:52" ht="16.5" thickBot="1" x14ac:dyDescent="0.3">
      <c r="AN131" s="438" t="s">
        <v>200</v>
      </c>
      <c r="AO131" s="64"/>
      <c r="AP131" s="78" t="s">
        <v>291</v>
      </c>
      <c r="AQ131" s="77" t="s">
        <v>295</v>
      </c>
    </row>
    <row r="132" spans="40:52" x14ac:dyDescent="0.25">
      <c r="AN132" s="439"/>
      <c r="AO132" s="98" t="s">
        <v>296</v>
      </c>
      <c r="AP132" s="79">
        <v>2926</v>
      </c>
      <c r="AQ132" s="80">
        <v>0.9456</v>
      </c>
    </row>
    <row r="133" spans="40:52" x14ac:dyDescent="0.25">
      <c r="AN133" s="439"/>
      <c r="AO133" s="77" t="s">
        <v>334</v>
      </c>
      <c r="AP133" s="77">
        <v>7</v>
      </c>
      <c r="AQ133" s="83">
        <v>5.4399999999999997E-2</v>
      </c>
    </row>
    <row r="134" spans="40:52" ht="15.75" thickBot="1" x14ac:dyDescent="0.3">
      <c r="AN134" s="440"/>
      <c r="AO134" s="84" t="s">
        <v>298</v>
      </c>
      <c r="AP134" s="84">
        <v>0</v>
      </c>
      <c r="AQ134" s="85">
        <v>0</v>
      </c>
    </row>
    <row r="135" spans="40:52" ht="15.75" thickBot="1" x14ac:dyDescent="0.3">
      <c r="AN135" s="447" t="s">
        <v>335</v>
      </c>
      <c r="AO135" s="447"/>
      <c r="AP135" s="447"/>
      <c r="AQ135" s="447"/>
    </row>
    <row r="136" spans="40:52" ht="16.5" thickBot="1" x14ac:dyDescent="0.3">
      <c r="AN136" s="442" t="s">
        <v>201</v>
      </c>
      <c r="AO136" s="78"/>
      <c r="AP136" s="78" t="s">
        <v>291</v>
      </c>
      <c r="AQ136" s="77" t="s">
        <v>292</v>
      </c>
    </row>
    <row r="137" spans="40:52" x14ac:dyDescent="0.25">
      <c r="AN137" s="439"/>
      <c r="AO137" s="75" t="s">
        <v>293</v>
      </c>
      <c r="AP137" s="79">
        <v>47406</v>
      </c>
      <c r="AQ137" s="80">
        <v>0.9234</v>
      </c>
    </row>
    <row r="138" spans="40:52" ht="15.75" thickBot="1" x14ac:dyDescent="0.3">
      <c r="AN138" s="440"/>
      <c r="AO138" s="78" t="s">
        <v>294</v>
      </c>
      <c r="AP138" s="81">
        <v>3932</v>
      </c>
      <c r="AQ138" s="82">
        <v>7.6600000000000001E-2</v>
      </c>
    </row>
    <row r="139" spans="40:52" ht="16.5" thickBot="1" x14ac:dyDescent="0.3">
      <c r="AN139" s="438" t="s">
        <v>200</v>
      </c>
      <c r="AO139" s="64"/>
      <c r="AP139" s="78" t="s">
        <v>291</v>
      </c>
      <c r="AQ139" s="77" t="s">
        <v>295</v>
      </c>
    </row>
    <row r="140" spans="40:52" x14ac:dyDescent="0.25">
      <c r="AN140" s="439"/>
      <c r="AO140" s="98" t="s">
        <v>296</v>
      </c>
      <c r="AP140" s="79">
        <v>108623</v>
      </c>
      <c r="AQ140" s="80">
        <v>0.99750000000000005</v>
      </c>
    </row>
    <row r="141" spans="40:52" x14ac:dyDescent="0.25">
      <c r="AN141" s="439"/>
      <c r="AO141" s="77" t="s">
        <v>336</v>
      </c>
      <c r="AP141" s="77">
        <v>272</v>
      </c>
      <c r="AQ141" s="83">
        <v>2.5000000000000001E-3</v>
      </c>
    </row>
    <row r="142" spans="40:52" ht="15.75" thickBot="1" x14ac:dyDescent="0.3">
      <c r="AN142" s="440"/>
      <c r="AO142" s="84" t="s">
        <v>298</v>
      </c>
      <c r="AP142" s="84">
        <v>0</v>
      </c>
      <c r="AQ142" s="85">
        <v>0</v>
      </c>
    </row>
    <row r="143" spans="40:52" x14ac:dyDescent="0.25">
      <c r="AN143" s="99" t="s">
        <v>337</v>
      </c>
    </row>
    <row r="144" spans="40:52" x14ac:dyDescent="0.25">
      <c r="AN144" s="76" t="s">
        <v>338</v>
      </c>
      <c r="AZ144" s="219"/>
    </row>
    <row r="147" spans="39:50" ht="15.75" thickBot="1" x14ac:dyDescent="0.3">
      <c r="AM147" s="135" t="s">
        <v>349</v>
      </c>
      <c r="AN147" s="60"/>
    </row>
    <row r="148" spans="39:50" x14ac:dyDescent="0.25">
      <c r="AN148" s="443" t="s">
        <v>339</v>
      </c>
      <c r="AO148" s="443"/>
      <c r="AP148" s="443"/>
      <c r="AQ148" s="443"/>
      <c r="AR148" s="443"/>
      <c r="AS148" s="443"/>
      <c r="AT148" s="443" t="s">
        <v>340</v>
      </c>
      <c r="AU148" s="443"/>
      <c r="AV148" s="443"/>
    </row>
    <row r="149" spans="39:50" ht="15.75" thickBot="1" x14ac:dyDescent="0.3">
      <c r="AN149" s="92"/>
      <c r="AO149" s="6" t="s">
        <v>341</v>
      </c>
      <c r="AP149" s="6" t="s">
        <v>342</v>
      </c>
      <c r="AQ149" s="6" t="s">
        <v>343</v>
      </c>
      <c r="AR149" s="6" t="s">
        <v>344</v>
      </c>
      <c r="AS149" s="64"/>
      <c r="AT149" s="6" t="s">
        <v>345</v>
      </c>
      <c r="AU149" s="6" t="s">
        <v>343</v>
      </c>
      <c r="AV149" s="6" t="s">
        <v>344</v>
      </c>
    </row>
    <row r="150" spans="39:50" x14ac:dyDescent="0.25">
      <c r="AN150" s="100" t="s">
        <v>310</v>
      </c>
      <c r="AO150" s="101">
        <v>0.96150000000000002</v>
      </c>
      <c r="AP150" s="102">
        <v>0.03</v>
      </c>
      <c r="AQ150" s="100" t="s">
        <v>39</v>
      </c>
      <c r="AR150" s="101">
        <v>8.8999999999999999E-3</v>
      </c>
      <c r="AS150" s="103"/>
      <c r="AT150" s="101">
        <v>0.68769999999999998</v>
      </c>
      <c r="AU150" s="100" t="s">
        <v>39</v>
      </c>
      <c r="AV150" s="101">
        <v>0.31230000000000002</v>
      </c>
    </row>
    <row r="151" spans="39:50" x14ac:dyDescent="0.25">
      <c r="AN151" s="6" t="s">
        <v>311</v>
      </c>
      <c r="AO151" s="104">
        <v>0.05</v>
      </c>
      <c r="AP151" s="6" t="s">
        <v>39</v>
      </c>
      <c r="AQ151" s="104">
        <v>0.55000000000000004</v>
      </c>
      <c r="AR151" s="104">
        <v>0.4</v>
      </c>
      <c r="AS151" s="92"/>
      <c r="AT151" s="6" t="s">
        <v>39</v>
      </c>
      <c r="AU151" s="104">
        <v>0.11070000000000001</v>
      </c>
      <c r="AV151" s="104">
        <v>0.88929999999999998</v>
      </c>
      <c r="AX151" s="223">
        <f>AR151*AR152</f>
        <v>0.16520000000000001</v>
      </c>
    </row>
    <row r="152" spans="39:50" x14ac:dyDescent="0.25">
      <c r="AN152" s="105" t="s">
        <v>312</v>
      </c>
      <c r="AO152" s="106">
        <v>3.7400000000000003E-2</v>
      </c>
      <c r="AP152" s="105" t="s">
        <v>39</v>
      </c>
      <c r="AQ152" s="106">
        <v>0.55389999999999995</v>
      </c>
      <c r="AR152" s="106">
        <v>0.41299999999999998</v>
      </c>
      <c r="AS152" s="92"/>
      <c r="AT152" s="105" t="s">
        <v>39</v>
      </c>
      <c r="AU152" s="106">
        <v>0.2356</v>
      </c>
      <c r="AV152" s="106">
        <v>0.76439999999999997</v>
      </c>
    </row>
    <row r="153" spans="39:50" x14ac:dyDescent="0.25">
      <c r="AN153" s="6" t="s">
        <v>313</v>
      </c>
      <c r="AO153" s="104">
        <v>5.2600000000000001E-2</v>
      </c>
      <c r="AP153" s="6" t="s">
        <v>39</v>
      </c>
      <c r="AQ153" s="104">
        <v>0.54930000000000001</v>
      </c>
      <c r="AR153" s="104">
        <v>0.4</v>
      </c>
      <c r="AS153" s="92"/>
      <c r="AT153" s="6" t="s">
        <v>39</v>
      </c>
      <c r="AU153" s="104">
        <v>0.25940000000000002</v>
      </c>
      <c r="AV153" s="104">
        <v>0.74060000000000004</v>
      </c>
    </row>
    <row r="154" spans="39:50" x14ac:dyDescent="0.25">
      <c r="AN154" s="105" t="s">
        <v>314</v>
      </c>
      <c r="AO154" s="106">
        <v>9.5399999999999999E-2</v>
      </c>
      <c r="AP154" s="105" t="s">
        <v>39</v>
      </c>
      <c r="AQ154" s="106">
        <v>0.5091</v>
      </c>
      <c r="AR154" s="106">
        <v>0.3962</v>
      </c>
      <c r="AS154" s="92"/>
      <c r="AT154" s="105" t="s">
        <v>39</v>
      </c>
      <c r="AU154" s="106">
        <v>0.1212</v>
      </c>
      <c r="AV154" s="106">
        <v>0.87880000000000003</v>
      </c>
    </row>
    <row r="155" spans="39:50" x14ac:dyDescent="0.25">
      <c r="AN155" s="6" t="s">
        <v>199</v>
      </c>
      <c r="AO155" s="104">
        <v>6.1000000000000004E-3</v>
      </c>
      <c r="AP155" s="6" t="s">
        <v>39</v>
      </c>
      <c r="AQ155" s="104">
        <v>0</v>
      </c>
      <c r="AR155" s="104">
        <v>0.99390000000000001</v>
      </c>
      <c r="AS155" s="92"/>
      <c r="AT155" s="6" t="s">
        <v>39</v>
      </c>
      <c r="AU155" s="104">
        <v>0</v>
      </c>
      <c r="AV155" s="104">
        <v>1</v>
      </c>
    </row>
    <row r="156" spans="39:50" x14ac:dyDescent="0.25">
      <c r="AN156" s="105" t="s">
        <v>315</v>
      </c>
      <c r="AO156" s="106">
        <v>5.9299999999999999E-2</v>
      </c>
      <c r="AP156" s="105" t="s">
        <v>39</v>
      </c>
      <c r="AQ156" s="106">
        <v>0</v>
      </c>
      <c r="AR156" s="106">
        <v>0.93959999999999999</v>
      </c>
      <c r="AS156" s="92"/>
      <c r="AT156" s="105" t="s">
        <v>39</v>
      </c>
      <c r="AU156" s="106">
        <v>0</v>
      </c>
      <c r="AV156" s="106">
        <v>1</v>
      </c>
    </row>
    <row r="157" spans="39:50" x14ac:dyDescent="0.25">
      <c r="AN157" s="6" t="s">
        <v>318</v>
      </c>
      <c r="AO157" s="104">
        <v>4.8099999999999997E-2</v>
      </c>
      <c r="AP157" s="6" t="s">
        <v>39</v>
      </c>
      <c r="AQ157" s="104">
        <v>0</v>
      </c>
      <c r="AR157" s="104">
        <v>0.94540000000000002</v>
      </c>
      <c r="AS157" s="92"/>
      <c r="AT157" s="6" t="s">
        <v>39</v>
      </c>
      <c r="AU157" s="104">
        <v>0</v>
      </c>
      <c r="AV157" s="104">
        <v>1</v>
      </c>
    </row>
    <row r="158" spans="39:50" x14ac:dyDescent="0.25">
      <c r="AN158" s="105" t="s">
        <v>319</v>
      </c>
      <c r="AO158" s="106">
        <v>6.2799999999999995E-2</v>
      </c>
      <c r="AP158" s="105" t="s">
        <v>39</v>
      </c>
      <c r="AQ158" s="106">
        <v>0</v>
      </c>
      <c r="AR158" s="106">
        <v>0.93600000000000005</v>
      </c>
      <c r="AS158" s="92"/>
      <c r="AT158" s="105" t="s">
        <v>39</v>
      </c>
      <c r="AU158" s="106">
        <v>0</v>
      </c>
      <c r="AV158" s="106">
        <v>1</v>
      </c>
    </row>
    <row r="159" spans="39:50" x14ac:dyDescent="0.25">
      <c r="AN159" s="6" t="s">
        <v>320</v>
      </c>
      <c r="AO159" s="104">
        <v>2.1399999999999999E-2</v>
      </c>
      <c r="AP159" s="6" t="s">
        <v>39</v>
      </c>
      <c r="AQ159" s="104">
        <v>0</v>
      </c>
      <c r="AR159" s="104">
        <v>0.98329999999999995</v>
      </c>
      <c r="AS159" s="92"/>
      <c r="AT159" s="6" t="s">
        <v>39</v>
      </c>
      <c r="AU159" s="104">
        <v>0</v>
      </c>
      <c r="AV159" s="104">
        <v>1</v>
      </c>
    </row>
    <row r="160" spans="39:50" x14ac:dyDescent="0.25">
      <c r="AN160" s="105" t="s">
        <v>321</v>
      </c>
      <c r="AO160" s="106">
        <v>5.1299999999999998E-2</v>
      </c>
      <c r="AP160" s="105" t="s">
        <v>39</v>
      </c>
      <c r="AQ160" s="106">
        <v>0</v>
      </c>
      <c r="AR160" s="106">
        <v>0.95189999999999997</v>
      </c>
      <c r="AS160" s="92"/>
      <c r="AT160" s="105" t="s">
        <v>39</v>
      </c>
      <c r="AU160" s="106">
        <v>0</v>
      </c>
      <c r="AV160" s="106">
        <v>1</v>
      </c>
    </row>
    <row r="161" spans="39:84" x14ac:dyDescent="0.25">
      <c r="AN161" s="6" t="s">
        <v>322</v>
      </c>
      <c r="AO161" s="104">
        <v>3.9300000000000002E-2</v>
      </c>
      <c r="AP161" s="6" t="s">
        <v>39</v>
      </c>
      <c r="AQ161" s="104">
        <v>0</v>
      </c>
      <c r="AR161" s="104">
        <v>0.96240000000000003</v>
      </c>
      <c r="AS161" s="92"/>
      <c r="AT161" s="6" t="s">
        <v>39</v>
      </c>
      <c r="AU161" s="104">
        <v>0</v>
      </c>
      <c r="AV161" s="104">
        <v>1</v>
      </c>
    </row>
    <row r="162" spans="39:84" x14ac:dyDescent="0.25">
      <c r="AN162" s="105" t="s">
        <v>323</v>
      </c>
      <c r="AO162" s="106">
        <v>4.5999999999999999E-3</v>
      </c>
      <c r="AP162" s="105" t="s">
        <v>39</v>
      </c>
      <c r="AQ162" s="106">
        <v>0</v>
      </c>
      <c r="AR162" s="106">
        <v>0.99529999999999996</v>
      </c>
      <c r="AS162" s="92"/>
      <c r="AT162" s="105" t="s">
        <v>39</v>
      </c>
      <c r="AU162" s="106">
        <v>0</v>
      </c>
      <c r="AV162" s="106">
        <v>1</v>
      </c>
    </row>
    <row r="163" spans="39:84" x14ac:dyDescent="0.25">
      <c r="AN163" s="6" t="s">
        <v>324</v>
      </c>
      <c r="AO163" s="104">
        <v>8.3000000000000001E-3</v>
      </c>
      <c r="AP163" s="6" t="s">
        <v>39</v>
      </c>
      <c r="AQ163" s="104">
        <v>0</v>
      </c>
      <c r="AR163" s="104">
        <v>0.9929</v>
      </c>
      <c r="AS163" s="92"/>
      <c r="AT163" s="6" t="s">
        <v>39</v>
      </c>
      <c r="AU163" s="104">
        <v>0</v>
      </c>
      <c r="AV163" s="104">
        <v>1</v>
      </c>
    </row>
    <row r="164" spans="39:84" x14ac:dyDescent="0.25">
      <c r="AN164" s="105" t="s">
        <v>325</v>
      </c>
      <c r="AO164" s="106">
        <v>2.41E-2</v>
      </c>
      <c r="AP164" s="105" t="s">
        <v>39</v>
      </c>
      <c r="AQ164" s="106">
        <v>0</v>
      </c>
      <c r="AR164" s="106">
        <v>0.97099999999999997</v>
      </c>
      <c r="AS164" s="92"/>
      <c r="AT164" s="105" t="s">
        <v>39</v>
      </c>
      <c r="AU164" s="106">
        <v>0</v>
      </c>
      <c r="AV164" s="106">
        <v>1</v>
      </c>
    </row>
    <row r="165" spans="39:84" x14ac:dyDescent="0.25">
      <c r="AN165" s="6" t="s">
        <v>326</v>
      </c>
      <c r="AO165" s="104">
        <v>1.5800000000000002E-2</v>
      </c>
      <c r="AP165" s="6" t="s">
        <v>39</v>
      </c>
      <c r="AQ165" s="104">
        <v>0</v>
      </c>
      <c r="AR165" s="104">
        <v>0.98409999999999997</v>
      </c>
      <c r="AS165" s="92"/>
      <c r="AT165" s="6" t="s">
        <v>39</v>
      </c>
      <c r="AU165" s="104">
        <v>0</v>
      </c>
      <c r="AV165" s="104">
        <v>1</v>
      </c>
    </row>
    <row r="166" spans="39:84" ht="15.75" thickBot="1" x14ac:dyDescent="0.3">
      <c r="AN166" s="107" t="s">
        <v>327</v>
      </c>
      <c r="AO166" s="108">
        <v>2E-3</v>
      </c>
      <c r="AP166" s="107" t="s">
        <v>39</v>
      </c>
      <c r="AQ166" s="108">
        <v>0</v>
      </c>
      <c r="AR166" s="108">
        <v>0.99609999999999999</v>
      </c>
      <c r="AS166" s="109"/>
      <c r="AT166" s="107" t="s">
        <v>39</v>
      </c>
      <c r="AU166" s="108">
        <v>0</v>
      </c>
      <c r="AV166" s="108">
        <v>1</v>
      </c>
    </row>
    <row r="167" spans="39:84" ht="15.75" x14ac:dyDescent="0.25">
      <c r="AN167" s="110"/>
      <c r="AO167" s="218">
        <f>1-(1*AO168)</f>
        <v>0.99812999999999996</v>
      </c>
      <c r="AP167" s="218">
        <f t="shared" ref="AP167:AR167" si="3">1-(1*AP168)</f>
        <v>1</v>
      </c>
      <c r="AQ167" s="218">
        <f t="shared" si="3"/>
        <v>0.69535499999999995</v>
      </c>
      <c r="AR167" s="218">
        <f t="shared" si="3"/>
        <v>0.83479999999999999</v>
      </c>
    </row>
    <row r="168" spans="39:84" x14ac:dyDescent="0.25">
      <c r="AN168" s="76" t="s">
        <v>346</v>
      </c>
      <c r="AO168" s="219">
        <f>AO151*AO152</f>
        <v>1.8700000000000001E-3</v>
      </c>
      <c r="AP168" s="218"/>
      <c r="AQ168" s="218">
        <f t="shared" ref="AQ168:AR168" si="4">AQ151*AQ152</f>
        <v>0.304645</v>
      </c>
      <c r="AR168" s="218">
        <f t="shared" si="4"/>
        <v>0.16520000000000001</v>
      </c>
    </row>
    <row r="169" spans="39:84" x14ac:dyDescent="0.25">
      <c r="AN169" s="111" t="s">
        <v>347</v>
      </c>
      <c r="BA169" s="111" t="s">
        <v>347</v>
      </c>
    </row>
    <row r="170" spans="39:84" x14ac:dyDescent="0.25">
      <c r="AN170" s="111" t="s">
        <v>348</v>
      </c>
      <c r="BA170" s="111" t="s">
        <v>348</v>
      </c>
      <c r="BQ170" s="21" t="s">
        <v>1029</v>
      </c>
    </row>
    <row r="171" spans="39:84" x14ac:dyDescent="0.25">
      <c r="BS171" t="s">
        <v>356</v>
      </c>
      <c r="CD171" t="s">
        <v>763</v>
      </c>
    </row>
    <row r="172" spans="39:84" ht="15.75" thickBot="1" x14ac:dyDescent="0.3">
      <c r="AM172" s="135" t="s">
        <v>350</v>
      </c>
      <c r="AZ172" s="135" t="s">
        <v>350</v>
      </c>
      <c r="BM172" t="s">
        <v>751</v>
      </c>
      <c r="BS172" s="13" t="s">
        <v>846</v>
      </c>
      <c r="BT172" s="314"/>
      <c r="BU172" s="315"/>
      <c r="BV172" s="13" t="s">
        <v>847</v>
      </c>
      <c r="BW172" s="314"/>
      <c r="BX172" s="314"/>
      <c r="BY172" s="315"/>
      <c r="BZ172" s="13" t="s">
        <v>848</v>
      </c>
      <c r="CA172" s="314"/>
      <c r="CB172" s="314"/>
      <c r="CC172" s="315"/>
      <c r="CD172" s="13" t="s">
        <v>846</v>
      </c>
      <c r="CE172" s="314"/>
      <c r="CF172" s="315"/>
    </row>
    <row r="173" spans="39:84" ht="15.75" thickBot="1" x14ac:dyDescent="0.3">
      <c r="AN173" s="435" t="s">
        <v>351</v>
      </c>
      <c r="AO173" s="435"/>
      <c r="AP173" s="435"/>
      <c r="AQ173" s="112"/>
      <c r="AR173" s="435" t="s">
        <v>352</v>
      </c>
      <c r="AS173" s="435"/>
      <c r="AT173" s="112"/>
      <c r="AU173" s="435" t="s">
        <v>353</v>
      </c>
      <c r="AV173" s="435"/>
      <c r="AW173" s="435"/>
      <c r="AZ173" s="217"/>
      <c r="BA173" s="390" t="s">
        <v>351</v>
      </c>
      <c r="BB173" s="390"/>
      <c r="BC173" s="391"/>
      <c r="BD173" s="112"/>
      <c r="BE173" s="390" t="s">
        <v>352</v>
      </c>
      <c r="BF173" s="390"/>
      <c r="BG173" s="112"/>
      <c r="BH173" s="392" t="s">
        <v>353</v>
      </c>
      <c r="BI173" s="390"/>
      <c r="BJ173" s="390"/>
      <c r="BM173" s="8" t="s">
        <v>678</v>
      </c>
      <c r="BN173" s="2"/>
      <c r="BO173" s="9"/>
      <c r="BR173" s="232"/>
      <c r="BS173" s="233" t="s">
        <v>306</v>
      </c>
      <c r="BT173" s="234" t="s">
        <v>344</v>
      </c>
      <c r="BU173" s="233" t="s">
        <v>343</v>
      </c>
      <c r="BV173" s="232" t="s">
        <v>306</v>
      </c>
      <c r="BW173" s="233" t="s">
        <v>344</v>
      </c>
      <c r="BX173" s="233" t="s">
        <v>343</v>
      </c>
      <c r="BY173" s="234"/>
      <c r="BZ173" s="232" t="s">
        <v>306</v>
      </c>
      <c r="CA173" s="233" t="s">
        <v>344</v>
      </c>
      <c r="CB173" s="233" t="s">
        <v>343</v>
      </c>
      <c r="CC173" s="234"/>
      <c r="CD173" s="232"/>
      <c r="CE173" s="233" t="s">
        <v>763</v>
      </c>
      <c r="CF173" s="325" t="s">
        <v>845</v>
      </c>
    </row>
    <row r="174" spans="39:84" ht="15.75" thickBot="1" x14ac:dyDescent="0.3">
      <c r="AN174" s="436" t="s">
        <v>354</v>
      </c>
      <c r="AO174" s="436"/>
      <c r="AP174" s="436"/>
      <c r="AQ174" s="95"/>
      <c r="AR174" s="95" t="s">
        <v>355</v>
      </c>
      <c r="AS174" s="95" t="s">
        <v>356</v>
      </c>
      <c r="AT174" s="95"/>
      <c r="AU174" s="95" t="s">
        <v>357</v>
      </c>
      <c r="AV174" s="95" t="s">
        <v>358</v>
      </c>
      <c r="AW174" s="95" t="s">
        <v>359</v>
      </c>
      <c r="BA174" s="386" t="s">
        <v>354</v>
      </c>
      <c r="BB174" s="386"/>
      <c r="BC174" s="387"/>
      <c r="BD174" s="95"/>
      <c r="BE174" s="95" t="s">
        <v>355</v>
      </c>
      <c r="BF174" s="95" t="s">
        <v>356</v>
      </c>
      <c r="BG174" s="95"/>
      <c r="BH174" s="145" t="s">
        <v>357</v>
      </c>
      <c r="BI174" s="95" t="s">
        <v>358</v>
      </c>
      <c r="BJ174" s="95" t="s">
        <v>359</v>
      </c>
      <c r="BM174" s="145" t="s">
        <v>358</v>
      </c>
      <c r="BN174" s="90" t="s">
        <v>679</v>
      </c>
      <c r="BO174" s="11"/>
      <c r="BQ174" s="6"/>
      <c r="BR174" s="235" t="s">
        <v>354</v>
      </c>
      <c r="BS174" s="236" t="s">
        <v>166</v>
      </c>
      <c r="BT174" s="237" t="s">
        <v>166</v>
      </c>
      <c r="BU174" s="236" t="s">
        <v>166</v>
      </c>
      <c r="BV174" s="235" t="s">
        <v>753</v>
      </c>
      <c r="BW174" s="236" t="s">
        <v>753</v>
      </c>
      <c r="BX174" s="236" t="s">
        <v>753</v>
      </c>
      <c r="BY174" s="237" t="s">
        <v>849</v>
      </c>
      <c r="BZ174" s="235" t="s">
        <v>11</v>
      </c>
      <c r="CA174" s="236" t="s">
        <v>11</v>
      </c>
      <c r="CB174" s="236" t="s">
        <v>11</v>
      </c>
      <c r="CC174" s="237" t="s">
        <v>849</v>
      </c>
      <c r="CD174" s="235" t="s">
        <v>850</v>
      </c>
      <c r="CE174" s="236" t="s">
        <v>166</v>
      </c>
      <c r="CF174" s="14"/>
    </row>
    <row r="175" spans="39:84" ht="15.75" thickBot="1" x14ac:dyDescent="0.3">
      <c r="AN175" s="67" t="s">
        <v>360</v>
      </c>
      <c r="AO175" s="67" t="s">
        <v>166</v>
      </c>
      <c r="AP175" s="67">
        <v>1000</v>
      </c>
      <c r="AQ175" s="67"/>
      <c r="AR175" s="67">
        <v>974</v>
      </c>
      <c r="AS175" s="67">
        <v>955.32</v>
      </c>
      <c r="AT175" s="67"/>
      <c r="AU175" s="67">
        <v>25.53</v>
      </c>
      <c r="AV175" s="67">
        <v>11.55</v>
      </c>
      <c r="AW175" s="67">
        <v>8.6</v>
      </c>
      <c r="BA175" s="67" t="s">
        <v>360</v>
      </c>
      <c r="BB175" s="67" t="s">
        <v>166</v>
      </c>
      <c r="BC175" s="139">
        <v>1000</v>
      </c>
      <c r="BD175" s="67"/>
      <c r="BE175" s="67">
        <v>974</v>
      </c>
      <c r="BF175" s="67">
        <v>955.32</v>
      </c>
      <c r="BG175" s="139">
        <f>BF175/BC175</f>
        <v>0.95532000000000006</v>
      </c>
      <c r="BH175" s="146">
        <v>25.53</v>
      </c>
      <c r="BI175" s="67">
        <v>11.55</v>
      </c>
      <c r="BJ175" s="67">
        <v>8.6</v>
      </c>
      <c r="BM175" s="224">
        <f t="shared" ref="BM175:BM194" si="5">BI175/BC175</f>
        <v>1.1550000000000001E-2</v>
      </c>
      <c r="BN175" s="225">
        <f t="shared" ref="BN175:BN194" si="6">BJ175/BC175</f>
        <v>8.6E-3</v>
      </c>
      <c r="BO175" s="226">
        <f t="shared" ref="BO175:BO194" si="7">BJ175/BI175</f>
        <v>0.74458874458874447</v>
      </c>
      <c r="BQ175" s="238" t="s">
        <v>360</v>
      </c>
      <c r="BR175" s="10">
        <f>BC175</f>
        <v>1000</v>
      </c>
      <c r="BS175">
        <f>BF175</f>
        <v>955.32</v>
      </c>
      <c r="BT175">
        <f>BI175</f>
        <v>11.55</v>
      </c>
      <c r="BU175">
        <f t="shared" ref="BU175:BU183" si="8">BR175-BS175-BT175</f>
        <v>33.129999999999953</v>
      </c>
      <c r="BV175" s="224">
        <f t="shared" ref="BV175:BV183" si="9">BS175/$BR$175</f>
        <v>0.95532000000000006</v>
      </c>
      <c r="BW175" s="225">
        <f t="shared" ref="BW175:BW183" si="10">BT175/$BR$175</f>
        <v>1.1550000000000001E-2</v>
      </c>
      <c r="BX175" s="225">
        <f t="shared" ref="BX175:BX183" si="11">BU175/$BR$175</f>
        <v>3.3129999999999951E-2</v>
      </c>
      <c r="BY175" s="308">
        <f>SUM(BV175:BX175)</f>
        <v>1</v>
      </c>
      <c r="BZ175" s="316"/>
      <c r="CA175" s="317"/>
      <c r="CB175" s="317"/>
      <c r="CC175" s="226"/>
      <c r="CD175" s="10">
        <f>BT175</f>
        <v>11.55</v>
      </c>
      <c r="CE175">
        <f>BJ175</f>
        <v>8.6</v>
      </c>
      <c r="CF175" s="14">
        <f>CD175-CE175</f>
        <v>2.9500000000000011</v>
      </c>
    </row>
    <row r="176" spans="39:84" ht="15.75" thickBot="1" x14ac:dyDescent="0.3">
      <c r="AN176" s="95" t="s">
        <v>310</v>
      </c>
      <c r="AO176" s="95" t="s">
        <v>166</v>
      </c>
      <c r="AP176" s="95">
        <v>993.21</v>
      </c>
      <c r="AQ176" s="95"/>
      <c r="AR176" s="95">
        <v>973.35</v>
      </c>
      <c r="AS176" s="95">
        <v>954.99</v>
      </c>
      <c r="AT176" s="95"/>
      <c r="AU176" s="95">
        <v>19.52</v>
      </c>
      <c r="AV176" s="95">
        <v>8.84</v>
      </c>
      <c r="AW176" s="95">
        <v>6.18</v>
      </c>
      <c r="AZ176" s="100" t="s">
        <v>310</v>
      </c>
      <c r="BA176" s="95" t="s">
        <v>310</v>
      </c>
      <c r="BB176" s="95" t="s">
        <v>166</v>
      </c>
      <c r="BC176" s="138">
        <v>993.21</v>
      </c>
      <c r="BD176" s="95"/>
      <c r="BE176" s="95">
        <v>973.35</v>
      </c>
      <c r="BF176" s="95">
        <v>954.99</v>
      </c>
      <c r="BG176" s="138">
        <f>BF176/BC176</f>
        <v>0.9615187120548524</v>
      </c>
      <c r="BH176" s="145">
        <v>19.52</v>
      </c>
      <c r="BI176" s="95">
        <v>8.84</v>
      </c>
      <c r="BJ176" s="95">
        <v>6.18</v>
      </c>
      <c r="BM176" s="227">
        <f t="shared" si="5"/>
        <v>8.9004339464967119E-3</v>
      </c>
      <c r="BN176" s="225">
        <f t="shared" si="6"/>
        <v>6.2222490711934027E-3</v>
      </c>
      <c r="BO176" s="226">
        <f t="shared" si="7"/>
        <v>0.69909502262443435</v>
      </c>
      <c r="BQ176" s="213" t="s">
        <v>310</v>
      </c>
      <c r="BR176" s="10">
        <f>BC176</f>
        <v>993.21</v>
      </c>
      <c r="BS176">
        <f t="shared" ref="BS176:BS178" si="12">BF176</f>
        <v>954.99</v>
      </c>
      <c r="BT176">
        <f>BI176</f>
        <v>8.84</v>
      </c>
      <c r="BV176" s="224">
        <f t="shared" si="9"/>
        <v>0.95499000000000001</v>
      </c>
      <c r="BW176" s="225">
        <f t="shared" si="10"/>
        <v>8.8400000000000006E-3</v>
      </c>
      <c r="BX176" s="225">
        <f t="shared" si="11"/>
        <v>0</v>
      </c>
      <c r="BY176" s="308">
        <f t="shared" ref="BY176:BY183" si="13">SUM(BV176:BX176)</f>
        <v>0.96382999999999996</v>
      </c>
      <c r="BZ176" s="316"/>
      <c r="CA176" s="317"/>
      <c r="CB176" s="317"/>
      <c r="CC176" s="226"/>
      <c r="CD176" s="10">
        <f t="shared" ref="CD176:CD183" si="14">BT176</f>
        <v>8.84</v>
      </c>
      <c r="CE176">
        <f t="shared" ref="CE176:CE183" si="15">BJ176</f>
        <v>6.18</v>
      </c>
      <c r="CF176" s="14">
        <f t="shared" ref="CF176:CF180" si="16">CD176-CE176</f>
        <v>2.66</v>
      </c>
    </row>
    <row r="177" spans="40:84" x14ac:dyDescent="0.25">
      <c r="AN177" s="67" t="s">
        <v>361</v>
      </c>
      <c r="AO177" s="67" t="s">
        <v>166</v>
      </c>
      <c r="AP177" s="67">
        <v>6.79</v>
      </c>
      <c r="AQ177" s="92"/>
      <c r="AR177" s="67">
        <v>0.65</v>
      </c>
      <c r="AS177" s="67">
        <v>0.34</v>
      </c>
      <c r="AT177" s="92"/>
      <c r="AU177" s="67">
        <v>6.01</v>
      </c>
      <c r="AV177" s="67">
        <v>2.72</v>
      </c>
      <c r="AW177" s="67">
        <v>2.42</v>
      </c>
      <c r="AZ177" s="6" t="s">
        <v>311</v>
      </c>
      <c r="BA177" s="67" t="s">
        <v>361</v>
      </c>
      <c r="BB177" s="67" t="s">
        <v>166</v>
      </c>
      <c r="BC177" s="139">
        <v>6.79</v>
      </c>
      <c r="BD177" s="92"/>
      <c r="BE177" s="67">
        <v>0.65</v>
      </c>
      <c r="BF177" s="67">
        <v>0.34</v>
      </c>
      <c r="BG177" s="139">
        <f t="shared" ref="BG177:BG194" si="17">BF177/BC177</f>
        <v>5.0073637702503684E-2</v>
      </c>
      <c r="BH177" s="146">
        <v>6.01</v>
      </c>
      <c r="BI177" s="67">
        <v>2.72</v>
      </c>
      <c r="BJ177" s="67">
        <v>2.42</v>
      </c>
      <c r="BM177" s="227">
        <f t="shared" si="5"/>
        <v>0.40058910162002948</v>
      </c>
      <c r="BN177" s="225">
        <f t="shared" si="6"/>
        <v>0.35640648011782033</v>
      </c>
      <c r="BO177" s="228">
        <f t="shared" si="7"/>
        <v>0.88970588235294112</v>
      </c>
      <c r="BQ177" s="214" t="s">
        <v>361</v>
      </c>
      <c r="BR177" s="10">
        <f>BC177</f>
        <v>6.79</v>
      </c>
      <c r="BS177">
        <f t="shared" si="12"/>
        <v>0.34</v>
      </c>
      <c r="BT177">
        <f>BI177</f>
        <v>2.72</v>
      </c>
      <c r="BU177">
        <f t="shared" si="8"/>
        <v>3.73</v>
      </c>
      <c r="BV177" s="224">
        <f t="shared" si="9"/>
        <v>3.4000000000000002E-4</v>
      </c>
      <c r="BW177" s="225">
        <f t="shared" si="10"/>
        <v>2.7200000000000002E-3</v>
      </c>
      <c r="BX177" s="225">
        <f t="shared" si="11"/>
        <v>3.7299999999999998E-3</v>
      </c>
      <c r="BY177" s="308">
        <f t="shared" si="13"/>
        <v>6.79E-3</v>
      </c>
      <c r="BZ177" s="316">
        <f>(BS177/SUM($BS$177:$BU$177))</f>
        <v>5.0073637702503684E-2</v>
      </c>
      <c r="CA177" s="317">
        <f>(BT177/SUM($BS$177:$BU$177))</f>
        <v>0.40058910162002948</v>
      </c>
      <c r="CB177" s="317">
        <f>(BU177/SUM($BS$177:$BU$177))</f>
        <v>0.54933726067746691</v>
      </c>
      <c r="CC177" s="226">
        <f>SUM(BZ177:CB177)</f>
        <v>1</v>
      </c>
      <c r="CD177" s="10">
        <f t="shared" si="14"/>
        <v>2.72</v>
      </c>
      <c r="CE177">
        <f t="shared" si="15"/>
        <v>2.42</v>
      </c>
      <c r="CF177" s="14">
        <f t="shared" si="16"/>
        <v>0.30000000000000027</v>
      </c>
    </row>
    <row r="178" spans="40:84" x14ac:dyDescent="0.25">
      <c r="AN178" s="90" t="s">
        <v>362</v>
      </c>
      <c r="AO178" s="90" t="s">
        <v>166</v>
      </c>
      <c r="AP178" s="90">
        <v>4.17</v>
      </c>
      <c r="AQ178" s="90"/>
      <c r="AR178" s="90">
        <v>0.3</v>
      </c>
      <c r="AS178" s="90">
        <v>0.16</v>
      </c>
      <c r="AT178" s="90"/>
      <c r="AU178" s="90">
        <v>3.73</v>
      </c>
      <c r="AV178" s="90">
        <v>1.72</v>
      </c>
      <c r="AW178" s="90">
        <v>1.32</v>
      </c>
      <c r="AZ178" s="105" t="s">
        <v>312</v>
      </c>
      <c r="BA178" s="90" t="s">
        <v>362</v>
      </c>
      <c r="BB178" s="90" t="s">
        <v>166</v>
      </c>
      <c r="BC178" s="140">
        <v>4.17</v>
      </c>
      <c r="BD178" s="90"/>
      <c r="BE178" s="90">
        <v>0.3</v>
      </c>
      <c r="BF178" s="90">
        <v>0.16</v>
      </c>
      <c r="BG178" s="140">
        <f t="shared" si="17"/>
        <v>3.836930455635492E-2</v>
      </c>
      <c r="BH178" s="147">
        <v>3.73</v>
      </c>
      <c r="BI178" s="90">
        <v>1.72</v>
      </c>
      <c r="BJ178" s="90">
        <v>1.32</v>
      </c>
      <c r="BM178" s="227">
        <f t="shared" si="5"/>
        <v>0.41247002398081534</v>
      </c>
      <c r="BN178" s="225">
        <f t="shared" si="6"/>
        <v>0.31654676258992809</v>
      </c>
      <c r="BO178" s="228">
        <f t="shared" si="7"/>
        <v>0.76744186046511631</v>
      </c>
      <c r="BQ178" s="215" t="s">
        <v>362</v>
      </c>
      <c r="BR178" s="10">
        <f>BC178</f>
        <v>4.17</v>
      </c>
      <c r="BS178">
        <f t="shared" si="12"/>
        <v>0.16</v>
      </c>
      <c r="BT178">
        <f>BI178</f>
        <v>1.72</v>
      </c>
      <c r="BU178">
        <f t="shared" si="8"/>
        <v>2.29</v>
      </c>
      <c r="BV178" s="224">
        <f t="shared" si="9"/>
        <v>1.6000000000000001E-4</v>
      </c>
      <c r="BW178" s="225">
        <f t="shared" si="10"/>
        <v>1.72E-3</v>
      </c>
      <c r="BX178" s="225">
        <f t="shared" si="11"/>
        <v>2.2899999999999999E-3</v>
      </c>
      <c r="BY178" s="308">
        <f t="shared" si="13"/>
        <v>4.1700000000000001E-3</v>
      </c>
      <c r="BZ178" s="316">
        <f>(BS178/SUM($BS$178:$BU$178))</f>
        <v>3.836930455635492E-2</v>
      </c>
      <c r="CA178" s="317">
        <f>(BT178/SUM($BS$178:$BU$178))</f>
        <v>0.41247002398081534</v>
      </c>
      <c r="CB178" s="317">
        <f>(BU178/SUM($BS$178:$BU$178))</f>
        <v>0.54916067146282976</v>
      </c>
      <c r="CC178" s="226">
        <f t="shared" ref="CC178:CC183" si="18">SUM(BZ178:CB178)</f>
        <v>1</v>
      </c>
      <c r="CD178" s="10">
        <f t="shared" si="14"/>
        <v>1.72</v>
      </c>
      <c r="CE178">
        <f t="shared" si="15"/>
        <v>1.32</v>
      </c>
      <c r="CF178" s="14">
        <f t="shared" si="16"/>
        <v>0.39999999999999991</v>
      </c>
    </row>
    <row r="179" spans="40:84" x14ac:dyDescent="0.25">
      <c r="AN179" s="67" t="s">
        <v>363</v>
      </c>
      <c r="AO179" s="67" t="s">
        <v>166</v>
      </c>
      <c r="AP179" s="67">
        <v>1.89</v>
      </c>
      <c r="AQ179" s="92"/>
      <c r="AR179" s="67">
        <v>0.14000000000000001</v>
      </c>
      <c r="AS179" s="67">
        <v>0.1</v>
      </c>
      <c r="AT179" s="92"/>
      <c r="AU179" s="67">
        <v>1.64</v>
      </c>
      <c r="AV179" s="67">
        <v>0.76</v>
      </c>
      <c r="AW179" s="67">
        <v>0.56000000000000005</v>
      </c>
      <c r="AZ179" s="6" t="s">
        <v>313</v>
      </c>
      <c r="BA179" s="67" t="s">
        <v>363</v>
      </c>
      <c r="BB179" s="67" t="s">
        <v>166</v>
      </c>
      <c r="BC179" s="139">
        <v>1.89</v>
      </c>
      <c r="BD179" s="92"/>
      <c r="BE179" s="67">
        <v>0.14000000000000001</v>
      </c>
      <c r="BF179" s="67">
        <v>0.1</v>
      </c>
      <c r="BG179" s="139">
        <f t="shared" si="17"/>
        <v>5.2910052910052914E-2</v>
      </c>
      <c r="BH179" s="146">
        <v>1.64</v>
      </c>
      <c r="BI179" s="67">
        <v>0.76</v>
      </c>
      <c r="BJ179" s="67">
        <v>0.56000000000000005</v>
      </c>
      <c r="BM179" s="227">
        <f t="shared" si="5"/>
        <v>0.40211640211640215</v>
      </c>
      <c r="BN179" s="225">
        <f t="shared" si="6"/>
        <v>0.29629629629629634</v>
      </c>
      <c r="BO179" s="228">
        <f t="shared" si="7"/>
        <v>0.73684210526315796</v>
      </c>
      <c r="BQ179" s="240" t="s">
        <v>512</v>
      </c>
      <c r="BR179" s="241">
        <f>BR177-BR178</f>
        <v>2.62</v>
      </c>
      <c r="BS179" s="25">
        <f>BS177-BS178</f>
        <v>0.18000000000000002</v>
      </c>
      <c r="BT179" s="25">
        <f>BT177-BT178</f>
        <v>1.0000000000000002</v>
      </c>
      <c r="BU179" s="25">
        <f>BR179-BS179-BT179</f>
        <v>1.4399999999999997</v>
      </c>
      <c r="BV179" s="323">
        <f t="shared" si="9"/>
        <v>1.8000000000000001E-4</v>
      </c>
      <c r="BW179" s="324">
        <f t="shared" si="10"/>
        <v>1.0000000000000002E-3</v>
      </c>
      <c r="BX179" s="324">
        <f t="shared" si="11"/>
        <v>1.4399999999999997E-3</v>
      </c>
      <c r="BY179" s="308">
        <f t="shared" si="13"/>
        <v>2.6199999999999999E-3</v>
      </c>
      <c r="BZ179" s="318">
        <f>(BS179/SUM($BS$179:$BU$179))</f>
        <v>6.8702290076335881E-2</v>
      </c>
      <c r="CA179" s="319">
        <f>(BT179/SUM($BS$179:$BU$179))</f>
        <v>0.38167938931297718</v>
      </c>
      <c r="CB179" s="319">
        <f>(BU179/SUM($BS$179:$BU$179))</f>
        <v>0.54961832061068694</v>
      </c>
      <c r="CC179" s="226">
        <f t="shared" si="18"/>
        <v>1</v>
      </c>
      <c r="CD179" s="241">
        <f>BT179</f>
        <v>1.0000000000000002</v>
      </c>
      <c r="CE179" s="25">
        <f>CE177-CE178</f>
        <v>1.0999999999999999</v>
      </c>
      <c r="CF179" s="326">
        <f t="shared" si="16"/>
        <v>-9.9999999999999645E-2</v>
      </c>
    </row>
    <row r="180" spans="40:84" x14ac:dyDescent="0.25">
      <c r="AN180" s="90" t="s">
        <v>364</v>
      </c>
      <c r="AO180" s="90" t="s">
        <v>365</v>
      </c>
      <c r="AP180" s="90">
        <v>269.56</v>
      </c>
      <c r="AQ180" s="90"/>
      <c r="AR180" s="90">
        <v>18.97</v>
      </c>
      <c r="AS180" s="90">
        <v>25.7</v>
      </c>
      <c r="AT180" s="90"/>
      <c r="AU180" s="90">
        <v>247.52</v>
      </c>
      <c r="AV180" s="90">
        <v>106.79</v>
      </c>
      <c r="AW180" s="90">
        <v>93.85</v>
      </c>
      <c r="AZ180" s="105" t="s">
        <v>314</v>
      </c>
      <c r="BA180" s="90" t="s">
        <v>364</v>
      </c>
      <c r="BB180" s="90" t="s">
        <v>365</v>
      </c>
      <c r="BC180" s="140">
        <v>269.56</v>
      </c>
      <c r="BD180" s="90"/>
      <c r="BE180" s="90">
        <v>18.97</v>
      </c>
      <c r="BF180" s="90">
        <v>25.7</v>
      </c>
      <c r="BG180" s="140">
        <f t="shared" si="17"/>
        <v>9.5340554978483455E-2</v>
      </c>
      <c r="BH180" s="147">
        <v>247.52</v>
      </c>
      <c r="BI180" s="90">
        <v>106.79</v>
      </c>
      <c r="BJ180" s="90">
        <v>93.85</v>
      </c>
      <c r="BM180" s="227">
        <f t="shared" si="5"/>
        <v>0.39616411930553497</v>
      </c>
      <c r="BN180" s="225">
        <f t="shared" si="6"/>
        <v>0.34815996438640745</v>
      </c>
      <c r="BO180" s="228">
        <f t="shared" si="7"/>
        <v>0.87882760558104678</v>
      </c>
      <c r="BQ180" s="214" t="s">
        <v>363</v>
      </c>
      <c r="BR180" s="10">
        <f>BC179</f>
        <v>1.89</v>
      </c>
      <c r="BS180">
        <f>BF179</f>
        <v>0.1</v>
      </c>
      <c r="BT180">
        <f>BI179</f>
        <v>0.76</v>
      </c>
      <c r="BU180">
        <f t="shared" si="8"/>
        <v>1.0299999999999998</v>
      </c>
      <c r="BV180" s="224">
        <f t="shared" si="9"/>
        <v>1E-4</v>
      </c>
      <c r="BW180" s="225">
        <f t="shared" si="10"/>
        <v>7.6000000000000004E-4</v>
      </c>
      <c r="BX180" s="225">
        <f t="shared" si="11"/>
        <v>1.0299999999999999E-3</v>
      </c>
      <c r="BY180" s="308">
        <f t="shared" si="13"/>
        <v>1.89E-3</v>
      </c>
      <c r="BZ180" s="316">
        <f>(BS180/SUM($BS$180:$BU$180))</f>
        <v>5.2910052910052921E-2</v>
      </c>
      <c r="CA180" s="317">
        <f>(BT180/SUM($BS$180:$BU$180))</f>
        <v>0.40211640211640221</v>
      </c>
      <c r="CB180" s="317">
        <f>(BU180/SUM($BS$180:$BU$180))</f>
        <v>0.544973544973545</v>
      </c>
      <c r="CC180" s="226">
        <f t="shared" si="18"/>
        <v>1</v>
      </c>
      <c r="CD180" s="10">
        <f>BT180</f>
        <v>0.76</v>
      </c>
      <c r="CE180">
        <f>BJ179</f>
        <v>0.56000000000000005</v>
      </c>
      <c r="CF180" s="14">
        <f t="shared" si="16"/>
        <v>0.19999999999999996</v>
      </c>
    </row>
    <row r="181" spans="40:84" x14ac:dyDescent="0.25">
      <c r="AN181" s="67" t="s">
        <v>199</v>
      </c>
      <c r="AO181" s="67" t="s">
        <v>365</v>
      </c>
      <c r="AP181" s="67">
        <v>155.49</v>
      </c>
      <c r="AQ181" s="92"/>
      <c r="AR181" s="67">
        <v>9.92</v>
      </c>
      <c r="AS181" s="67">
        <v>0.96</v>
      </c>
      <c r="AT181" s="92"/>
      <c r="AU181" s="67">
        <v>145.57</v>
      </c>
      <c r="AV181" s="67">
        <v>154.54</v>
      </c>
      <c r="AW181" s="67">
        <v>154.54</v>
      </c>
      <c r="AZ181" s="6" t="s">
        <v>199</v>
      </c>
      <c r="BA181" s="67" t="s">
        <v>199</v>
      </c>
      <c r="BB181" s="67" t="s">
        <v>365</v>
      </c>
      <c r="BC181" s="139">
        <v>155.49</v>
      </c>
      <c r="BD181" s="92"/>
      <c r="BE181" s="67">
        <v>9.92</v>
      </c>
      <c r="BF181" s="67">
        <v>0.96</v>
      </c>
      <c r="BG181" s="139">
        <f t="shared" si="17"/>
        <v>6.1740304842755151E-3</v>
      </c>
      <c r="BH181" s="146">
        <v>145.57</v>
      </c>
      <c r="BI181" s="67">
        <v>154.54</v>
      </c>
      <c r="BJ181" s="67">
        <v>154.54</v>
      </c>
      <c r="BM181" s="227">
        <f t="shared" si="5"/>
        <v>0.99389028233326893</v>
      </c>
      <c r="BN181" s="225">
        <f t="shared" si="6"/>
        <v>0.99389028233326893</v>
      </c>
      <c r="BO181" s="228">
        <f t="shared" si="7"/>
        <v>1</v>
      </c>
      <c r="BQ181" s="215" t="s">
        <v>364</v>
      </c>
      <c r="BR181" s="310">
        <f>BC180</f>
        <v>269.56</v>
      </c>
      <c r="BS181" s="312">
        <f>BF180</f>
        <v>25.7</v>
      </c>
      <c r="BT181" s="312">
        <f>BI180</f>
        <v>106.79</v>
      </c>
      <c r="BU181" s="312">
        <f>BR181-BS181-BT181</f>
        <v>137.07</v>
      </c>
      <c r="BV181" s="224">
        <f t="shared" si="9"/>
        <v>2.5700000000000001E-2</v>
      </c>
      <c r="BW181" s="225">
        <f t="shared" si="10"/>
        <v>0.10679000000000001</v>
      </c>
      <c r="BX181" s="225">
        <f t="shared" si="11"/>
        <v>0.13707</v>
      </c>
      <c r="BY181" s="308">
        <f t="shared" si="13"/>
        <v>0.26956000000000002</v>
      </c>
      <c r="BZ181" s="316">
        <f>(BS181/SUM($BS$181:$BU$181))</f>
        <v>9.5340554978483455E-2</v>
      </c>
      <c r="CA181" s="317">
        <f>(BT181/SUM($BS$181:$BU$181))</f>
        <v>0.39616411930553497</v>
      </c>
      <c r="CB181" s="317">
        <f>(BU181/SUM($BS$181:$BU$181))</f>
        <v>0.50849532571598155</v>
      </c>
      <c r="CC181" s="226">
        <f t="shared" si="18"/>
        <v>1</v>
      </c>
      <c r="CD181" s="310">
        <f t="shared" si="14"/>
        <v>106.79</v>
      </c>
      <c r="CE181" s="312">
        <f t="shared" si="15"/>
        <v>154.54</v>
      </c>
      <c r="CF181" s="14"/>
    </row>
    <row r="182" spans="40:84" ht="15.75" thickBot="1" x14ac:dyDescent="0.3">
      <c r="AN182" s="90" t="s">
        <v>315</v>
      </c>
      <c r="AO182" s="90" t="s">
        <v>365</v>
      </c>
      <c r="AP182" s="90">
        <v>26.56</v>
      </c>
      <c r="AQ182" s="90"/>
      <c r="AR182" s="90">
        <v>2.9</v>
      </c>
      <c r="AS182" s="90">
        <v>1.57</v>
      </c>
      <c r="AT182" s="90"/>
      <c r="AU182" s="90">
        <v>23.65</v>
      </c>
      <c r="AV182" s="90">
        <v>24.95</v>
      </c>
      <c r="AW182" s="90">
        <v>24.95</v>
      </c>
      <c r="AZ182" s="105" t="s">
        <v>315</v>
      </c>
      <c r="BA182" s="90" t="s">
        <v>315</v>
      </c>
      <c r="BB182" s="90" t="s">
        <v>365</v>
      </c>
      <c r="BC182" s="140">
        <v>26.56</v>
      </c>
      <c r="BD182" s="90"/>
      <c r="BE182" s="90">
        <v>2.9</v>
      </c>
      <c r="BF182" s="90">
        <v>1.57</v>
      </c>
      <c r="BG182" s="140">
        <f t="shared" si="17"/>
        <v>5.9111445783132537E-2</v>
      </c>
      <c r="BH182" s="147">
        <v>23.65</v>
      </c>
      <c r="BI182" s="90">
        <v>24.95</v>
      </c>
      <c r="BJ182" s="90">
        <v>24.95</v>
      </c>
      <c r="BM182" s="227">
        <f t="shared" si="5"/>
        <v>0.9393825301204819</v>
      </c>
      <c r="BN182" s="225">
        <f t="shared" si="6"/>
        <v>0.9393825301204819</v>
      </c>
      <c r="BO182" s="228">
        <f t="shared" si="7"/>
        <v>1</v>
      </c>
      <c r="BQ182" s="214" t="s">
        <v>199</v>
      </c>
      <c r="BR182" s="310">
        <f>BC181</f>
        <v>155.49</v>
      </c>
      <c r="BS182" s="312">
        <f>BF181</f>
        <v>0.96</v>
      </c>
      <c r="BT182" s="312">
        <f>BI181</f>
        <v>154.54</v>
      </c>
      <c r="BU182" s="312">
        <f>BR182-BS182-BT182</f>
        <v>-9.9999999999909051E-3</v>
      </c>
      <c r="BV182" s="224">
        <f t="shared" si="9"/>
        <v>9.5999999999999992E-4</v>
      </c>
      <c r="BW182" s="225">
        <f t="shared" si="10"/>
        <v>0.15453999999999998</v>
      </c>
      <c r="BX182" s="225">
        <f t="shared" si="11"/>
        <v>-9.9999999999909054E-6</v>
      </c>
      <c r="BY182" s="308">
        <f t="shared" si="13"/>
        <v>0.15548999999999999</v>
      </c>
      <c r="BZ182" s="316">
        <f>(BS182/SUM($BS$182:$BU$182))</f>
        <v>6.1740304842755151E-3</v>
      </c>
      <c r="CA182" s="317">
        <f>(BT182/SUM($BS$182:$BU$182))</f>
        <v>0.99389028233326893</v>
      </c>
      <c r="CB182" s="317">
        <f>(BU182/SUM($BS$182:$BU$182))</f>
        <v>-6.4312817544478137E-5</v>
      </c>
      <c r="CC182" s="226">
        <f t="shared" si="18"/>
        <v>0.99999999999999989</v>
      </c>
      <c r="CD182" s="310">
        <f t="shared" si="14"/>
        <v>154.54</v>
      </c>
      <c r="CE182" s="312">
        <f t="shared" si="15"/>
        <v>24.95</v>
      </c>
      <c r="CF182" s="14"/>
    </row>
    <row r="183" spans="40:84" ht="15.75" x14ac:dyDescent="0.25">
      <c r="AN183" s="113" t="s">
        <v>316</v>
      </c>
      <c r="AO183" s="113" t="s">
        <v>366</v>
      </c>
      <c r="AP183" s="114">
        <v>0.10299999999999999</v>
      </c>
      <c r="AQ183" s="113"/>
      <c r="AR183" s="114">
        <v>6.5599999999999999E-3</v>
      </c>
      <c r="AS183" s="114">
        <v>0</v>
      </c>
      <c r="AT183" s="113"/>
      <c r="AU183" s="114">
        <v>0.249</v>
      </c>
      <c r="AV183" s="114">
        <v>0</v>
      </c>
      <c r="AW183" s="114">
        <v>0</v>
      </c>
      <c r="AZ183" s="217"/>
      <c r="BA183" s="113" t="s">
        <v>316</v>
      </c>
      <c r="BB183" s="113" t="s">
        <v>366</v>
      </c>
      <c r="BC183" s="141">
        <v>0.10299999999999999</v>
      </c>
      <c r="BD183" s="113"/>
      <c r="BE183" s="114">
        <v>6.5599999999999999E-3</v>
      </c>
      <c r="BF183" s="114">
        <v>0</v>
      </c>
      <c r="BG183" s="141">
        <f t="shared" si="17"/>
        <v>0</v>
      </c>
      <c r="BH183" s="148">
        <v>0.249</v>
      </c>
      <c r="BI183" s="114">
        <v>0</v>
      </c>
      <c r="BJ183" s="114">
        <v>0</v>
      </c>
      <c r="BM183" s="224">
        <f t="shared" si="5"/>
        <v>0</v>
      </c>
      <c r="BN183" s="225">
        <f t="shared" si="6"/>
        <v>0</v>
      </c>
      <c r="BO183" s="226" t="e">
        <f t="shared" si="7"/>
        <v>#DIV/0!</v>
      </c>
      <c r="BQ183" s="239" t="s">
        <v>315</v>
      </c>
      <c r="BR183" s="311">
        <f>BC182</f>
        <v>26.56</v>
      </c>
      <c r="BS183" s="313">
        <f>BF182</f>
        <v>1.57</v>
      </c>
      <c r="BT183" s="313">
        <f>BI182</f>
        <v>24.95</v>
      </c>
      <c r="BU183" s="313">
        <f t="shared" si="8"/>
        <v>3.9999999999999147E-2</v>
      </c>
      <c r="BV183" s="229">
        <f t="shared" si="9"/>
        <v>1.57E-3</v>
      </c>
      <c r="BW183" s="230">
        <f t="shared" si="10"/>
        <v>2.495E-2</v>
      </c>
      <c r="BX183" s="230">
        <f t="shared" si="11"/>
        <v>3.9999999999999149E-5</v>
      </c>
      <c r="BY183" s="309">
        <f t="shared" si="13"/>
        <v>2.6559999999999997E-2</v>
      </c>
      <c r="BZ183" s="320">
        <f>(BS183/SUM($BS$183:$BU$183))</f>
        <v>5.9111445783132537E-2</v>
      </c>
      <c r="CA183" s="321">
        <f>(BT183/SUM($BS$183:$BU$183))</f>
        <v>0.9393825301204819</v>
      </c>
      <c r="CB183" s="321">
        <f>(BU183/SUM($BS$183:$BU$183))</f>
        <v>1.5060240963855102E-3</v>
      </c>
      <c r="CC183" s="322">
        <f t="shared" si="18"/>
        <v>1</v>
      </c>
      <c r="CD183" s="311">
        <f t="shared" si="14"/>
        <v>24.95</v>
      </c>
      <c r="CE183" s="313">
        <f t="shared" si="15"/>
        <v>0</v>
      </c>
      <c r="CF183" s="15"/>
    </row>
    <row r="184" spans="40:84" ht="15.75" x14ac:dyDescent="0.25">
      <c r="AN184" s="90" t="s">
        <v>317</v>
      </c>
      <c r="AO184" s="90" t="s">
        <v>366</v>
      </c>
      <c r="AP184" s="115">
        <v>6.7900000000000002E-6</v>
      </c>
      <c r="AQ184" s="90"/>
      <c r="AR184" s="115">
        <v>7.4300000000000002E-7</v>
      </c>
      <c r="AS184" s="115">
        <v>0</v>
      </c>
      <c r="AT184" s="90"/>
      <c r="AU184" s="115">
        <v>0</v>
      </c>
      <c r="AV184" s="115">
        <v>0</v>
      </c>
      <c r="AW184" s="115">
        <v>0</v>
      </c>
      <c r="AZ184" s="217"/>
      <c r="BA184" s="90" t="s">
        <v>317</v>
      </c>
      <c r="BB184" s="90" t="s">
        <v>366</v>
      </c>
      <c r="BC184" s="142">
        <v>6.7900000000000002E-6</v>
      </c>
      <c r="BD184" s="90"/>
      <c r="BE184" s="115">
        <v>7.4300000000000002E-7</v>
      </c>
      <c r="BF184" s="115">
        <v>0</v>
      </c>
      <c r="BG184" s="142">
        <f t="shared" si="17"/>
        <v>0</v>
      </c>
      <c r="BH184" s="149">
        <v>0</v>
      </c>
      <c r="BI184" s="115">
        <v>0</v>
      </c>
      <c r="BJ184" s="115">
        <v>0</v>
      </c>
      <c r="BM184" s="224">
        <f t="shared" si="5"/>
        <v>0</v>
      </c>
      <c r="BN184" s="225">
        <f t="shared" si="6"/>
        <v>0</v>
      </c>
      <c r="BO184" s="226" t="e">
        <f t="shared" si="7"/>
        <v>#DIV/0!</v>
      </c>
      <c r="BY184" s="201"/>
    </row>
    <row r="185" spans="40:84" x14ac:dyDescent="0.25">
      <c r="AN185" s="67" t="s">
        <v>318</v>
      </c>
      <c r="AO185" s="67" t="s">
        <v>365</v>
      </c>
      <c r="AP185" s="67">
        <v>28.75</v>
      </c>
      <c r="AQ185" s="92"/>
      <c r="AR185" s="67">
        <v>7.89</v>
      </c>
      <c r="AS185" s="67">
        <v>1.38</v>
      </c>
      <c r="AT185" s="92"/>
      <c r="AU185" s="67">
        <v>20.85</v>
      </c>
      <c r="AV185" s="67">
        <v>27.18</v>
      </c>
      <c r="AW185" s="67">
        <v>27.18</v>
      </c>
      <c r="AZ185" s="6" t="s">
        <v>318</v>
      </c>
      <c r="BA185" s="67" t="s">
        <v>318</v>
      </c>
      <c r="BB185" s="67" t="s">
        <v>365</v>
      </c>
      <c r="BC185" s="139">
        <v>28.75</v>
      </c>
      <c r="BD185" s="92"/>
      <c r="BE185" s="67">
        <v>7.89</v>
      </c>
      <c r="BF185" s="67">
        <v>1.38</v>
      </c>
      <c r="BG185" s="139">
        <f t="shared" si="17"/>
        <v>4.7999999999999994E-2</v>
      </c>
      <c r="BH185" s="146">
        <v>20.85</v>
      </c>
      <c r="BI185" s="67">
        <v>27.18</v>
      </c>
      <c r="BJ185" s="67">
        <v>27.18</v>
      </c>
      <c r="BM185" s="224">
        <f t="shared" si="5"/>
        <v>0.94539130434782603</v>
      </c>
      <c r="BN185" s="225">
        <f t="shared" si="6"/>
        <v>0.94539130434782603</v>
      </c>
      <c r="BO185" s="228">
        <f t="shared" si="7"/>
        <v>1</v>
      </c>
    </row>
    <row r="186" spans="40:84" x14ac:dyDescent="0.25">
      <c r="AN186" s="90" t="s">
        <v>319</v>
      </c>
      <c r="AO186" s="90" t="s">
        <v>365</v>
      </c>
      <c r="AP186" s="90">
        <v>191.85</v>
      </c>
      <c r="AQ186" s="90"/>
      <c r="AR186" s="90">
        <v>49.51</v>
      </c>
      <c r="AS186" s="90">
        <v>12.05</v>
      </c>
      <c r="AT186" s="90"/>
      <c r="AU186" s="90">
        <v>142.35</v>
      </c>
      <c r="AV186" s="90">
        <v>179.57</v>
      </c>
      <c r="AW186" s="90">
        <v>179.57</v>
      </c>
      <c r="AZ186" s="105" t="s">
        <v>319</v>
      </c>
      <c r="BA186" s="90" t="s">
        <v>319</v>
      </c>
      <c r="BB186" s="90" t="s">
        <v>365</v>
      </c>
      <c r="BC186" s="140">
        <v>191.85</v>
      </c>
      <c r="BD186" s="90"/>
      <c r="BE186" s="90">
        <v>49.51</v>
      </c>
      <c r="BF186" s="90">
        <v>12.05</v>
      </c>
      <c r="BG186" s="140">
        <f t="shared" si="17"/>
        <v>6.2809486578055782E-2</v>
      </c>
      <c r="BH186" s="147">
        <v>142.35</v>
      </c>
      <c r="BI186" s="90">
        <v>179.57</v>
      </c>
      <c r="BJ186" s="90">
        <v>179.57</v>
      </c>
      <c r="BM186" s="224">
        <f t="shared" si="5"/>
        <v>0.93599166015115975</v>
      </c>
      <c r="BN186" s="225">
        <f t="shared" si="6"/>
        <v>0.93599166015115975</v>
      </c>
      <c r="BO186" s="228">
        <f t="shared" si="7"/>
        <v>1</v>
      </c>
    </row>
    <row r="187" spans="40:84" x14ac:dyDescent="0.25">
      <c r="AN187" s="67" t="s">
        <v>320</v>
      </c>
      <c r="AO187" s="67" t="s">
        <v>365</v>
      </c>
      <c r="AP187" s="72">
        <v>0.156</v>
      </c>
      <c r="AQ187" s="92"/>
      <c r="AR187" s="72">
        <v>1.61E-2</v>
      </c>
      <c r="AS187" s="72">
        <v>3.3300000000000001E-3</v>
      </c>
      <c r="AT187" s="92"/>
      <c r="AU187" s="72">
        <v>0.14000000000000001</v>
      </c>
      <c r="AV187" s="72">
        <v>0.153</v>
      </c>
      <c r="AW187" s="72">
        <v>0.153</v>
      </c>
      <c r="AZ187" s="6" t="s">
        <v>320</v>
      </c>
      <c r="BA187" s="67" t="s">
        <v>320</v>
      </c>
      <c r="BB187" s="67" t="s">
        <v>365</v>
      </c>
      <c r="BC187" s="143">
        <v>0.156</v>
      </c>
      <c r="BD187" s="92"/>
      <c r="BE187" s="72">
        <v>1.61E-2</v>
      </c>
      <c r="BF187" s="72">
        <v>3.3300000000000001E-3</v>
      </c>
      <c r="BG187" s="143">
        <f t="shared" si="17"/>
        <v>2.1346153846153848E-2</v>
      </c>
      <c r="BH187" s="150">
        <v>0.14000000000000001</v>
      </c>
      <c r="BI187" s="72">
        <v>0.153</v>
      </c>
      <c r="BJ187" s="72">
        <v>0.153</v>
      </c>
      <c r="BM187" s="224">
        <f t="shared" si="5"/>
        <v>0.98076923076923073</v>
      </c>
      <c r="BN187" s="225">
        <f t="shared" si="6"/>
        <v>0.98076923076923073</v>
      </c>
      <c r="BO187" s="228">
        <f t="shared" si="7"/>
        <v>1</v>
      </c>
    </row>
    <row r="188" spans="40:84" x14ac:dyDescent="0.25">
      <c r="AN188" s="90" t="s">
        <v>321</v>
      </c>
      <c r="AO188" s="90" t="s">
        <v>365</v>
      </c>
      <c r="AP188" s="90">
        <v>5.07</v>
      </c>
      <c r="AQ188" s="90"/>
      <c r="AR188" s="90">
        <v>0.52</v>
      </c>
      <c r="AS188" s="90">
        <v>0.26</v>
      </c>
      <c r="AT188" s="90"/>
      <c r="AU188" s="90">
        <v>4.55</v>
      </c>
      <c r="AV188" s="90">
        <v>4.83</v>
      </c>
      <c r="AW188" s="90">
        <v>4.83</v>
      </c>
      <c r="AZ188" s="105" t="s">
        <v>321</v>
      </c>
      <c r="BA188" s="90" t="s">
        <v>321</v>
      </c>
      <c r="BB188" s="90" t="s">
        <v>365</v>
      </c>
      <c r="BC188" s="140">
        <v>5.07</v>
      </c>
      <c r="BD188" s="90"/>
      <c r="BE188" s="90">
        <v>0.52</v>
      </c>
      <c r="BF188" s="90">
        <v>0.26</v>
      </c>
      <c r="BG188" s="140">
        <f t="shared" si="17"/>
        <v>5.128205128205128E-2</v>
      </c>
      <c r="BH188" s="147">
        <v>4.55</v>
      </c>
      <c r="BI188" s="90">
        <v>4.83</v>
      </c>
      <c r="BJ188" s="90">
        <v>4.83</v>
      </c>
      <c r="BM188" s="224">
        <f t="shared" si="5"/>
        <v>0.9526627218934911</v>
      </c>
      <c r="BN188" s="225">
        <f t="shared" si="6"/>
        <v>0.9526627218934911</v>
      </c>
      <c r="BO188" s="228">
        <f t="shared" si="7"/>
        <v>1</v>
      </c>
    </row>
    <row r="189" spans="40:84" x14ac:dyDescent="0.25">
      <c r="AN189" s="67" t="s">
        <v>322</v>
      </c>
      <c r="AO189" s="67" t="s">
        <v>365</v>
      </c>
      <c r="AP189" s="67">
        <v>434.36</v>
      </c>
      <c r="AQ189" s="92"/>
      <c r="AR189" s="67">
        <v>33.26</v>
      </c>
      <c r="AS189" s="67">
        <v>17.09</v>
      </c>
      <c r="AT189" s="92"/>
      <c r="AU189" s="67">
        <v>401.1</v>
      </c>
      <c r="AV189" s="67">
        <v>418.02</v>
      </c>
      <c r="AW189" s="67">
        <v>418.02</v>
      </c>
      <c r="AZ189" s="6" t="s">
        <v>322</v>
      </c>
      <c r="BA189" s="67" t="s">
        <v>322</v>
      </c>
      <c r="BB189" s="67" t="s">
        <v>365</v>
      </c>
      <c r="BC189" s="139">
        <v>434.36</v>
      </c>
      <c r="BD189" s="92"/>
      <c r="BE189" s="67">
        <v>33.26</v>
      </c>
      <c r="BF189" s="67">
        <v>17.09</v>
      </c>
      <c r="BG189" s="139">
        <f t="shared" si="17"/>
        <v>3.9345243576756603E-2</v>
      </c>
      <c r="BH189" s="146">
        <v>401.1</v>
      </c>
      <c r="BI189" s="67">
        <v>418.02</v>
      </c>
      <c r="BJ189" s="67">
        <v>418.02</v>
      </c>
      <c r="BM189" s="224">
        <f t="shared" si="5"/>
        <v>0.96238143475458138</v>
      </c>
      <c r="BN189" s="225">
        <f t="shared" si="6"/>
        <v>0.96238143475458138</v>
      </c>
      <c r="BO189" s="228">
        <f t="shared" si="7"/>
        <v>1</v>
      </c>
    </row>
    <row r="190" spans="40:84" x14ac:dyDescent="0.25">
      <c r="AN190" s="90" t="s">
        <v>324</v>
      </c>
      <c r="AO190" s="90" t="s">
        <v>365</v>
      </c>
      <c r="AP190" s="90">
        <v>0.15</v>
      </c>
      <c r="AQ190" s="90"/>
      <c r="AR190" s="90">
        <v>0.01</v>
      </c>
      <c r="AS190" s="90">
        <v>0</v>
      </c>
      <c r="AT190" s="90"/>
      <c r="AU190" s="90">
        <v>0.14000000000000001</v>
      </c>
      <c r="AV190" s="90">
        <v>0.15</v>
      </c>
      <c r="AW190" s="90">
        <v>0.15</v>
      </c>
      <c r="AZ190" s="6" t="s">
        <v>324</v>
      </c>
      <c r="BA190" s="90" t="s">
        <v>324</v>
      </c>
      <c r="BB190" s="90" t="s">
        <v>365</v>
      </c>
      <c r="BC190" s="140">
        <v>0.15</v>
      </c>
      <c r="BD190" s="90"/>
      <c r="BE190" s="90">
        <v>0.01</v>
      </c>
      <c r="BF190" s="90">
        <v>0</v>
      </c>
      <c r="BG190" s="140">
        <f t="shared" si="17"/>
        <v>0</v>
      </c>
      <c r="BH190" s="147">
        <v>0.14000000000000001</v>
      </c>
      <c r="BI190" s="90">
        <v>0.15</v>
      </c>
      <c r="BJ190" s="90">
        <v>0.15</v>
      </c>
      <c r="BM190" s="224">
        <f t="shared" si="5"/>
        <v>1</v>
      </c>
      <c r="BN190" s="225">
        <f t="shared" si="6"/>
        <v>1</v>
      </c>
      <c r="BO190" s="228">
        <f t="shared" si="7"/>
        <v>1</v>
      </c>
    </row>
    <row r="191" spans="40:84" x14ac:dyDescent="0.25">
      <c r="AN191" s="67" t="s">
        <v>325</v>
      </c>
      <c r="AO191" s="67" t="s">
        <v>365</v>
      </c>
      <c r="AP191" s="67">
        <v>2.13</v>
      </c>
      <c r="AQ191" s="92"/>
      <c r="AR191" s="67">
        <v>0.08</v>
      </c>
      <c r="AS191" s="67">
        <v>0.02</v>
      </c>
      <c r="AT191" s="92"/>
      <c r="AU191" s="67">
        <v>2.0499999999999998</v>
      </c>
      <c r="AV191" s="67">
        <v>2.12</v>
      </c>
      <c r="AW191" s="67">
        <v>2.12</v>
      </c>
      <c r="AZ191" s="105" t="s">
        <v>325</v>
      </c>
      <c r="BA191" s="67" t="s">
        <v>325</v>
      </c>
      <c r="BB191" s="67" t="s">
        <v>365</v>
      </c>
      <c r="BC191" s="139">
        <v>2.13</v>
      </c>
      <c r="BD191" s="92"/>
      <c r="BE191" s="67">
        <v>0.08</v>
      </c>
      <c r="BF191" s="67">
        <v>0.02</v>
      </c>
      <c r="BG191" s="139">
        <f t="shared" si="17"/>
        <v>9.3896713615023476E-3</v>
      </c>
      <c r="BH191" s="146">
        <v>2.0499999999999998</v>
      </c>
      <c r="BI191" s="67">
        <v>2.12</v>
      </c>
      <c r="BJ191" s="67">
        <v>2.12</v>
      </c>
      <c r="BM191" s="224">
        <f t="shared" si="5"/>
        <v>0.99530516431924898</v>
      </c>
      <c r="BN191" s="225">
        <f t="shared" si="6"/>
        <v>0.99530516431924898</v>
      </c>
      <c r="BO191" s="228">
        <f t="shared" si="7"/>
        <v>1</v>
      </c>
    </row>
    <row r="192" spans="40:84" x14ac:dyDescent="0.25">
      <c r="AN192" s="90" t="s">
        <v>323</v>
      </c>
      <c r="AO192" s="90" t="s">
        <v>365</v>
      </c>
      <c r="AP192" s="90">
        <v>3.89</v>
      </c>
      <c r="AQ192" s="90"/>
      <c r="AR192" s="90">
        <v>0.15</v>
      </c>
      <c r="AS192" s="90">
        <v>0.09</v>
      </c>
      <c r="AT192" s="90"/>
      <c r="AU192" s="90">
        <v>3.73</v>
      </c>
      <c r="AV192" s="90">
        <v>3.78</v>
      </c>
      <c r="AW192" s="90">
        <v>3.78</v>
      </c>
      <c r="AZ192" s="105" t="s">
        <v>323</v>
      </c>
      <c r="BA192" s="90" t="s">
        <v>323</v>
      </c>
      <c r="BB192" s="90" t="s">
        <v>365</v>
      </c>
      <c r="BC192" s="140">
        <v>3.89</v>
      </c>
      <c r="BD192" s="90"/>
      <c r="BE192" s="90">
        <v>0.15</v>
      </c>
      <c r="BF192" s="90">
        <v>0.09</v>
      </c>
      <c r="BG192" s="140">
        <f t="shared" si="17"/>
        <v>2.313624678663239E-2</v>
      </c>
      <c r="BH192" s="147">
        <v>3.73</v>
      </c>
      <c r="BI192" s="90">
        <v>3.78</v>
      </c>
      <c r="BJ192" s="90">
        <v>3.78</v>
      </c>
      <c r="BM192" s="224">
        <f t="shared" si="5"/>
        <v>0.97172236503856035</v>
      </c>
      <c r="BN192" s="225">
        <f t="shared" si="6"/>
        <v>0.97172236503856035</v>
      </c>
      <c r="BO192" s="228">
        <f t="shared" si="7"/>
        <v>1</v>
      </c>
    </row>
    <row r="193" spans="39:67" x14ac:dyDescent="0.25">
      <c r="AN193" s="67" t="s">
        <v>326</v>
      </c>
      <c r="AO193" s="67" t="s">
        <v>365</v>
      </c>
      <c r="AP193" s="72">
        <v>4.45E-3</v>
      </c>
      <c r="AQ193" s="92"/>
      <c r="AR193" s="72">
        <v>2.04E-4</v>
      </c>
      <c r="AS193" s="72">
        <v>7.0500000000000006E-5</v>
      </c>
      <c r="AT193" s="92"/>
      <c r="AU193" s="72">
        <v>4.2500000000000003E-3</v>
      </c>
      <c r="AV193" s="72">
        <v>4.3800000000000002E-3</v>
      </c>
      <c r="AW193" s="72">
        <v>4.3800000000000002E-3</v>
      </c>
      <c r="AZ193" s="6" t="s">
        <v>326</v>
      </c>
      <c r="BA193" s="67" t="s">
        <v>326</v>
      </c>
      <c r="BB193" s="67" t="s">
        <v>365</v>
      </c>
      <c r="BC193" s="143">
        <v>4.45E-3</v>
      </c>
      <c r="BD193" s="92"/>
      <c r="BE193" s="72">
        <v>2.04E-4</v>
      </c>
      <c r="BF193" s="72">
        <v>7.0500000000000006E-5</v>
      </c>
      <c r="BG193" s="143">
        <f t="shared" si="17"/>
        <v>1.5842696629213483E-2</v>
      </c>
      <c r="BH193" s="150">
        <v>4.2500000000000003E-3</v>
      </c>
      <c r="BI193" s="72">
        <v>4.3800000000000002E-3</v>
      </c>
      <c r="BJ193" s="72">
        <v>4.3800000000000002E-3</v>
      </c>
      <c r="BM193" s="224">
        <f t="shared" si="5"/>
        <v>0.98426966292134832</v>
      </c>
      <c r="BN193" s="225">
        <f t="shared" si="6"/>
        <v>0.98426966292134832</v>
      </c>
      <c r="BO193" s="228">
        <f t="shared" si="7"/>
        <v>1</v>
      </c>
    </row>
    <row r="194" spans="39:67" ht="15.75" thickBot="1" x14ac:dyDescent="0.3">
      <c r="AN194" s="95" t="s">
        <v>327</v>
      </c>
      <c r="AO194" s="95" t="s">
        <v>365</v>
      </c>
      <c r="AP194" s="116">
        <v>0.20200000000000001</v>
      </c>
      <c r="AQ194" s="95"/>
      <c r="AR194" s="116">
        <v>1.2200000000000001E-2</v>
      </c>
      <c r="AS194" s="116">
        <v>3.9399999999999998E-4</v>
      </c>
      <c r="AT194" s="95"/>
      <c r="AU194" s="116">
        <v>0.19</v>
      </c>
      <c r="AV194" s="116">
        <v>0.20100000000000001</v>
      </c>
      <c r="AW194" s="116">
        <v>0.20100000000000001</v>
      </c>
      <c r="AZ194" s="107" t="s">
        <v>327</v>
      </c>
      <c r="BA194" s="95" t="s">
        <v>327</v>
      </c>
      <c r="BB194" s="95" t="s">
        <v>365</v>
      </c>
      <c r="BC194" s="144">
        <v>0.20200000000000001</v>
      </c>
      <c r="BD194" s="95"/>
      <c r="BE194" s="116">
        <v>1.2200000000000001E-2</v>
      </c>
      <c r="BF194" s="116">
        <v>3.9399999999999998E-4</v>
      </c>
      <c r="BG194" s="144">
        <f t="shared" si="17"/>
        <v>1.9504950495049503E-3</v>
      </c>
      <c r="BH194" s="151">
        <v>0.19</v>
      </c>
      <c r="BI194" s="116">
        <v>0.20100000000000001</v>
      </c>
      <c r="BJ194" s="116">
        <v>0.20100000000000001</v>
      </c>
      <c r="BM194" s="229">
        <f t="shared" si="5"/>
        <v>0.99504950495049505</v>
      </c>
      <c r="BN194" s="230">
        <f t="shared" si="6"/>
        <v>0.99504950495049505</v>
      </c>
      <c r="BO194" s="231">
        <f t="shared" si="7"/>
        <v>1</v>
      </c>
    </row>
    <row r="195" spans="39:67" x14ac:dyDescent="0.25">
      <c r="AN195" s="76" t="s">
        <v>367</v>
      </c>
      <c r="BA195" s="76" t="s">
        <v>367</v>
      </c>
    </row>
    <row r="198" spans="39:67" ht="15.75" thickBot="1" x14ac:dyDescent="0.3">
      <c r="AM198" s="135" t="s">
        <v>376</v>
      </c>
      <c r="AN198" s="60"/>
    </row>
    <row r="199" spans="39:67" ht="15.75" thickBot="1" x14ac:dyDescent="0.3">
      <c r="AN199" s="117" t="s">
        <v>368</v>
      </c>
      <c r="AO199" s="118" t="s">
        <v>369</v>
      </c>
      <c r="AP199" s="118" t="s">
        <v>119</v>
      </c>
      <c r="AQ199" s="118" t="s">
        <v>370</v>
      </c>
    </row>
    <row r="200" spans="39:67" ht="16.5" thickTop="1" thickBot="1" x14ac:dyDescent="0.3">
      <c r="AN200" s="119" t="s">
        <v>371</v>
      </c>
      <c r="AO200" s="120" t="s">
        <v>372</v>
      </c>
      <c r="AP200" s="121">
        <v>0.125</v>
      </c>
      <c r="AQ200" s="121">
        <v>0.875</v>
      </c>
    </row>
    <row r="201" spans="39:67" ht="15.75" thickBot="1" x14ac:dyDescent="0.3">
      <c r="AN201" s="122" t="s">
        <v>373</v>
      </c>
      <c r="AO201" s="123" t="s">
        <v>372</v>
      </c>
      <c r="AP201" s="124">
        <v>0.13500000000000001</v>
      </c>
      <c r="AQ201" s="124">
        <v>0.86499999999999999</v>
      </c>
    </row>
    <row r="202" spans="39:67" ht="15.75" thickBot="1" x14ac:dyDescent="0.3">
      <c r="AN202" s="119" t="s">
        <v>374</v>
      </c>
      <c r="AO202" s="120" t="s">
        <v>372</v>
      </c>
      <c r="AP202" s="121">
        <v>0.19</v>
      </c>
      <c r="AQ202" s="121">
        <v>0.81</v>
      </c>
    </row>
    <row r="203" spans="39:67" x14ac:dyDescent="0.25">
      <c r="AN203" s="76" t="s">
        <v>375</v>
      </c>
    </row>
    <row r="206" spans="39:67" ht="15.75" thickBot="1" x14ac:dyDescent="0.3">
      <c r="AM206" s="135" t="s">
        <v>384</v>
      </c>
      <c r="AN206" s="60"/>
    </row>
    <row r="207" spans="39:67" ht="16.5" thickBot="1" x14ac:dyDescent="0.3">
      <c r="AN207" s="117" t="s">
        <v>368</v>
      </c>
      <c r="AO207" s="118" t="s">
        <v>369</v>
      </c>
      <c r="AP207" s="118" t="s">
        <v>377</v>
      </c>
      <c r="AQ207" s="118" t="s">
        <v>378</v>
      </c>
      <c r="AR207" s="118" t="s">
        <v>379</v>
      </c>
      <c r="AS207" s="118" t="s">
        <v>380</v>
      </c>
      <c r="AT207" s="118" t="s">
        <v>381</v>
      </c>
    </row>
    <row r="208" spans="39:67" ht="16.5" thickTop="1" thickBot="1" x14ac:dyDescent="0.3">
      <c r="AN208" s="125" t="s">
        <v>371</v>
      </c>
      <c r="AO208" s="120" t="s">
        <v>382</v>
      </c>
      <c r="AP208" s="121">
        <v>2.3E-2</v>
      </c>
      <c r="AQ208" s="121">
        <v>2.8000000000000001E-2</v>
      </c>
      <c r="AR208" s="121">
        <v>0.32500000000000001</v>
      </c>
      <c r="AS208" s="121">
        <v>0.121</v>
      </c>
      <c r="AT208" s="121">
        <v>8.4000000000000005E-2</v>
      </c>
    </row>
    <row r="209" spans="39:46" ht="15.75" thickBot="1" x14ac:dyDescent="0.3">
      <c r="AN209" s="126" t="s">
        <v>373</v>
      </c>
      <c r="AO209" s="123" t="s">
        <v>382</v>
      </c>
      <c r="AP209" s="124">
        <v>2.1000000000000001E-2</v>
      </c>
      <c r="AQ209" s="124">
        <v>0.03</v>
      </c>
      <c r="AR209" s="124">
        <v>0.27700000000000002</v>
      </c>
      <c r="AS209" s="124">
        <v>0.10299999999999999</v>
      </c>
      <c r="AT209" s="124">
        <v>6.0999999999999999E-2</v>
      </c>
    </row>
    <row r="210" spans="39:46" ht="15.75" thickBot="1" x14ac:dyDescent="0.3">
      <c r="AN210" s="125" t="s">
        <v>374</v>
      </c>
      <c r="AO210" s="120" t="s">
        <v>382</v>
      </c>
      <c r="AP210" s="121">
        <v>7.0000000000000001E-3</v>
      </c>
      <c r="AQ210" s="121">
        <v>3.1E-2</v>
      </c>
      <c r="AR210" s="127">
        <v>0.31</v>
      </c>
      <c r="AS210" s="121">
        <v>0.114</v>
      </c>
      <c r="AT210" s="121">
        <v>7.4999999999999997E-2</v>
      </c>
    </row>
    <row r="211" spans="39:46" x14ac:dyDescent="0.25">
      <c r="AN211" s="76" t="s">
        <v>383</v>
      </c>
    </row>
    <row r="214" spans="39:46" ht="15.75" thickBot="1" x14ac:dyDescent="0.3">
      <c r="AM214" s="3" t="s">
        <v>393</v>
      </c>
      <c r="AN214" s="60"/>
    </row>
    <row r="215" spans="39:46" ht="16.5" thickBot="1" x14ac:dyDescent="0.3">
      <c r="AN215" s="61" t="s">
        <v>385</v>
      </c>
      <c r="AO215" s="61" t="s">
        <v>386</v>
      </c>
    </row>
    <row r="216" spans="39:46" x14ac:dyDescent="0.25">
      <c r="AN216" s="128" t="s">
        <v>387</v>
      </c>
      <c r="AO216" s="129">
        <v>21</v>
      </c>
    </row>
    <row r="217" spans="39:46" x14ac:dyDescent="0.25">
      <c r="AN217" s="66" t="s">
        <v>388</v>
      </c>
      <c r="AO217" s="77">
        <v>19</v>
      </c>
    </row>
    <row r="218" spans="39:46" x14ac:dyDescent="0.25">
      <c r="AN218" s="128" t="s">
        <v>388</v>
      </c>
      <c r="AO218" s="129">
        <v>19</v>
      </c>
    </row>
    <row r="219" spans="39:46" x14ac:dyDescent="0.25">
      <c r="AN219" s="66" t="s">
        <v>389</v>
      </c>
      <c r="AO219" s="77">
        <v>18</v>
      </c>
    </row>
    <row r="220" spans="39:46" x14ac:dyDescent="0.25">
      <c r="AN220" s="128" t="s">
        <v>390</v>
      </c>
      <c r="AO220" s="129">
        <v>26</v>
      </c>
    </row>
    <row r="221" spans="39:46" x14ac:dyDescent="0.25">
      <c r="AN221" s="66" t="s">
        <v>388</v>
      </c>
      <c r="AO221" s="77">
        <v>19</v>
      </c>
    </row>
    <row r="222" spans="39:46" ht="15.75" thickBot="1" x14ac:dyDescent="0.3">
      <c r="AN222" s="130" t="s">
        <v>388</v>
      </c>
      <c r="AO222" s="131">
        <v>19</v>
      </c>
    </row>
    <row r="223" spans="39:46" ht="15.75" thickBot="1" x14ac:dyDescent="0.3">
      <c r="AN223" s="86" t="s">
        <v>391</v>
      </c>
      <c r="AO223" s="78">
        <v>20.100000000000001</v>
      </c>
    </row>
    <row r="224" spans="39:46" x14ac:dyDescent="0.25">
      <c r="AN224" s="76" t="s">
        <v>392</v>
      </c>
    </row>
    <row r="226" spans="39:43" ht="15.75" thickBot="1" x14ac:dyDescent="0.3">
      <c r="AM226" s="3" t="s">
        <v>403</v>
      </c>
      <c r="AN226" s="60"/>
    </row>
    <row r="227" spans="39:43" x14ac:dyDescent="0.25">
      <c r="AN227" s="445" t="s">
        <v>394</v>
      </c>
      <c r="AO227" s="445"/>
      <c r="AP227" s="70" t="s">
        <v>396</v>
      </c>
      <c r="AQ227" s="70" t="s">
        <v>397</v>
      </c>
    </row>
    <row r="228" spans="39:43" ht="15.75" thickBot="1" x14ac:dyDescent="0.3">
      <c r="AN228" s="446" t="s">
        <v>395</v>
      </c>
      <c r="AO228" s="446"/>
      <c r="AP228" s="132" t="s">
        <v>398</v>
      </c>
      <c r="AQ228" s="132" t="s">
        <v>399</v>
      </c>
    </row>
    <row r="229" spans="39:43" ht="15.75" thickBot="1" x14ac:dyDescent="0.3">
      <c r="AN229" s="133"/>
      <c r="AO229" s="74" t="s">
        <v>400</v>
      </c>
      <c r="AP229" s="82">
        <v>0.35499999999999998</v>
      </c>
      <c r="AQ229" s="78" t="s">
        <v>401</v>
      </c>
    </row>
    <row r="230" spans="39:43" x14ac:dyDescent="0.25">
      <c r="AN230" s="76" t="s">
        <v>402</v>
      </c>
    </row>
  </sheetData>
  <mergeCells count="40">
    <mergeCell ref="AN227:AO227"/>
    <mergeCell ref="AN228:AO228"/>
    <mergeCell ref="AN148:AS148"/>
    <mergeCell ref="AN127:AQ127"/>
    <mergeCell ref="AN128:AN130"/>
    <mergeCell ref="AN131:AN134"/>
    <mergeCell ref="AN135:AQ135"/>
    <mergeCell ref="AN136:AN138"/>
    <mergeCell ref="AN139:AN142"/>
    <mergeCell ref="AN173:AP173"/>
    <mergeCell ref="AR173:AS173"/>
    <mergeCell ref="AN40:AN41"/>
    <mergeCell ref="AN46:AP46"/>
    <mergeCell ref="AT148:AV148"/>
    <mergeCell ref="AN57:AP57"/>
    <mergeCell ref="AN65:AP65"/>
    <mergeCell ref="AN81:AQ81"/>
    <mergeCell ref="AN82:AN84"/>
    <mergeCell ref="AU173:AW173"/>
    <mergeCell ref="AN174:AP174"/>
    <mergeCell ref="AV100:AX100"/>
    <mergeCell ref="AN85:AN88"/>
    <mergeCell ref="AN89:AQ89"/>
    <mergeCell ref="AN90:AN92"/>
    <mergeCell ref="AN93:AN96"/>
    <mergeCell ref="AN100:AP100"/>
    <mergeCell ref="AR100:AT100"/>
    <mergeCell ref="AN34:AN35"/>
    <mergeCell ref="AP34:AP35"/>
    <mergeCell ref="AN36:AN37"/>
    <mergeCell ref="AP36:AP37"/>
    <mergeCell ref="AN38:AN39"/>
    <mergeCell ref="AP38:AP39"/>
    <mergeCell ref="AN32:AN33"/>
    <mergeCell ref="AP32:AP33"/>
    <mergeCell ref="AN12:AO12"/>
    <mergeCell ref="AN27:AN29"/>
    <mergeCell ref="AP27:AP29"/>
    <mergeCell ref="AN30:AN31"/>
    <mergeCell ref="AP30:AP3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1D0C1A-9EA4-49D0-A124-2ABB9F26B103}">
  <dimension ref="A1:A28"/>
  <sheetViews>
    <sheetView workbookViewId="0">
      <selection activeCell="J37" sqref="J37"/>
    </sheetView>
  </sheetViews>
  <sheetFormatPr defaultRowHeight="15" x14ac:dyDescent="0.25"/>
  <sheetData>
    <row r="1" spans="1:1" x14ac:dyDescent="0.25">
      <c r="A1" s="18" t="s">
        <v>1014</v>
      </c>
    </row>
    <row r="3" spans="1:1" x14ac:dyDescent="0.25">
      <c r="A3" s="396" t="s">
        <v>1079</v>
      </c>
    </row>
    <row r="4" spans="1:1" x14ac:dyDescent="0.25">
      <c r="A4" s="396" t="s">
        <v>1080</v>
      </c>
    </row>
    <row r="5" spans="1:1" x14ac:dyDescent="0.25">
      <c r="A5" s="396" t="s">
        <v>1081</v>
      </c>
    </row>
    <row r="6" spans="1:1" x14ac:dyDescent="0.25">
      <c r="A6" s="396" t="s">
        <v>1082</v>
      </c>
    </row>
    <row r="7" spans="1:1" x14ac:dyDescent="0.25">
      <c r="A7" s="396" t="s">
        <v>1083</v>
      </c>
    </row>
    <row r="8" spans="1:1" x14ac:dyDescent="0.25">
      <c r="A8" s="396" t="s">
        <v>1084</v>
      </c>
    </row>
    <row r="9" spans="1:1" x14ac:dyDescent="0.25">
      <c r="A9" s="396" t="s">
        <v>1085</v>
      </c>
    </row>
    <row r="12" spans="1:1" x14ac:dyDescent="0.25">
      <c r="A12" s="396"/>
    </row>
    <row r="13" spans="1:1" x14ac:dyDescent="0.25">
      <c r="A13" s="396"/>
    </row>
    <row r="14" spans="1:1" x14ac:dyDescent="0.25">
      <c r="A14" s="396"/>
    </row>
    <row r="15" spans="1:1" x14ac:dyDescent="0.25">
      <c r="A15" s="396"/>
    </row>
    <row r="16" spans="1:1" x14ac:dyDescent="0.25">
      <c r="A16" s="396"/>
    </row>
    <row r="17" spans="1:1" x14ac:dyDescent="0.25">
      <c r="A17" s="396"/>
    </row>
    <row r="18" spans="1:1" x14ac:dyDescent="0.25">
      <c r="A18" s="396"/>
    </row>
    <row r="19" spans="1:1" x14ac:dyDescent="0.25">
      <c r="A19" s="396"/>
    </row>
    <row r="20" spans="1:1" x14ac:dyDescent="0.25">
      <c r="A20" s="396"/>
    </row>
    <row r="21" spans="1:1" x14ac:dyDescent="0.25">
      <c r="A21" s="396"/>
    </row>
    <row r="22" spans="1:1" x14ac:dyDescent="0.25">
      <c r="A22" s="396"/>
    </row>
    <row r="23" spans="1:1" x14ac:dyDescent="0.25">
      <c r="A23" s="396"/>
    </row>
    <row r="24" spans="1:1" x14ac:dyDescent="0.25">
      <c r="A24" s="396"/>
    </row>
    <row r="25" spans="1:1" x14ac:dyDescent="0.25">
      <c r="A25" s="414"/>
    </row>
    <row r="26" spans="1:1" x14ac:dyDescent="0.25">
      <c r="A26" s="396"/>
    </row>
    <row r="27" spans="1:1" x14ac:dyDescent="0.25">
      <c r="A27" s="396"/>
    </row>
    <row r="28" spans="1:1" x14ac:dyDescent="0.25">
      <c r="A28" s="396"/>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4A3DC1-E5FF-4246-90BA-CD13EE507538}">
  <dimension ref="A2:R76"/>
  <sheetViews>
    <sheetView topLeftCell="A43" workbookViewId="0">
      <selection activeCell="C71" sqref="C71"/>
    </sheetView>
  </sheetViews>
  <sheetFormatPr defaultRowHeight="15" x14ac:dyDescent="0.25"/>
  <cols>
    <col min="1" max="1" width="14.85546875" bestFit="1" customWidth="1"/>
    <col min="2" max="2" width="74.5703125" bestFit="1" customWidth="1"/>
    <col min="7" max="7" width="10.42578125" customWidth="1"/>
  </cols>
  <sheetData>
    <row r="2" spans="1:18" x14ac:dyDescent="0.25">
      <c r="A2" t="s">
        <v>1142</v>
      </c>
      <c r="B2" t="s">
        <v>1140</v>
      </c>
      <c r="C2" t="s">
        <v>1145</v>
      </c>
      <c r="D2" t="s">
        <v>1146</v>
      </c>
      <c r="E2" t="s">
        <v>1147</v>
      </c>
      <c r="F2" t="s">
        <v>1148</v>
      </c>
      <c r="G2" t="s">
        <v>1149</v>
      </c>
      <c r="H2" t="s">
        <v>1150</v>
      </c>
      <c r="I2" t="s">
        <v>1151</v>
      </c>
      <c r="J2" t="s">
        <v>1152</v>
      </c>
      <c r="K2" t="s">
        <v>1153</v>
      </c>
      <c r="L2" t="s">
        <v>1154</v>
      </c>
      <c r="M2" t="s">
        <v>1155</v>
      </c>
      <c r="N2" t="s">
        <v>1156</v>
      </c>
      <c r="O2" t="s">
        <v>1157</v>
      </c>
      <c r="P2" t="s">
        <v>1158</v>
      </c>
      <c r="Q2" t="s">
        <v>1159</v>
      </c>
      <c r="R2" t="s">
        <v>1160</v>
      </c>
    </row>
    <row r="3" spans="1:18" x14ac:dyDescent="0.25">
      <c r="B3" t="s">
        <v>32</v>
      </c>
      <c r="C3" t="s">
        <v>1161</v>
      </c>
      <c r="D3" t="s">
        <v>1162</v>
      </c>
      <c r="E3" t="s">
        <v>1143</v>
      </c>
      <c r="F3" t="s">
        <v>1143</v>
      </c>
      <c r="G3" t="s">
        <v>1163</v>
      </c>
      <c r="H3" t="s">
        <v>1164</v>
      </c>
      <c r="I3" t="s">
        <v>1165</v>
      </c>
      <c r="J3" t="s">
        <v>1166</v>
      </c>
      <c r="K3" t="s">
        <v>1167</v>
      </c>
      <c r="L3" t="s">
        <v>1168</v>
      </c>
      <c r="M3" t="s">
        <v>1169</v>
      </c>
      <c r="N3" t="s">
        <v>1144</v>
      </c>
      <c r="O3" t="s">
        <v>1170</v>
      </c>
      <c r="P3" t="s">
        <v>1171</v>
      </c>
      <c r="Q3" t="s">
        <v>1172</v>
      </c>
      <c r="R3" t="s">
        <v>1173</v>
      </c>
    </row>
    <row r="4" spans="1:18" x14ac:dyDescent="0.25">
      <c r="B4" t="s">
        <v>1141</v>
      </c>
      <c r="C4">
        <v>-11.619943105451499</v>
      </c>
      <c r="D4" s="222">
        <v>-7.1425396840220499E-7</v>
      </c>
      <c r="E4" s="222">
        <v>-7.2853312747774699E-9</v>
      </c>
      <c r="F4" s="222">
        <v>1.02215731644185E-7</v>
      </c>
      <c r="G4" s="222">
        <v>5.4204166802633395E-7</v>
      </c>
      <c r="H4">
        <v>0.47634909980831203</v>
      </c>
      <c r="I4">
        <v>3.1966704315254203E-2</v>
      </c>
      <c r="J4">
        <v>8.6353092386354302E-2</v>
      </c>
      <c r="K4">
        <v>0.44912038971630402</v>
      </c>
      <c r="L4">
        <v>-1.1485277401860399E-2</v>
      </c>
      <c r="M4">
        <v>0.18439509099988299</v>
      </c>
      <c r="N4" s="222">
        <v>56.309793727873199</v>
      </c>
      <c r="O4">
        <v>290.01675963437202</v>
      </c>
      <c r="P4">
        <v>0.36676341530544398</v>
      </c>
      <c r="Q4" s="222">
        <v>1.06328944690918E-4</v>
      </c>
      <c r="R4">
        <v>-250.51857422001899</v>
      </c>
    </row>
    <row r="5" spans="1:18" x14ac:dyDescent="0.25">
      <c r="B5" t="s">
        <v>1175</v>
      </c>
      <c r="C5">
        <v>-10.4474556648416</v>
      </c>
      <c r="D5" s="222">
        <v>-7.3083773428732801E-7</v>
      </c>
      <c r="E5" s="222">
        <v>-1.5385888530334399E-8</v>
      </c>
      <c r="F5" s="222">
        <v>4.2440764103386301E-8</v>
      </c>
      <c r="G5" s="222">
        <v>1.8094185048568199E-7</v>
      </c>
      <c r="H5">
        <v>0.470612354467844</v>
      </c>
      <c r="I5">
        <v>3.4486345915481102E-2</v>
      </c>
      <c r="J5">
        <v>4.2913336644602902E-2</v>
      </c>
      <c r="K5">
        <v>0.20900012221070499</v>
      </c>
      <c r="L5" s="222">
        <v>4.1071147193414099E-6</v>
      </c>
      <c r="M5">
        <v>1.8469489589963899E-2</v>
      </c>
      <c r="N5">
        <v>-35.796586724871503</v>
      </c>
      <c r="O5">
        <v>143.29442835465099</v>
      </c>
      <c r="P5">
        <v>1.19472049516473E-2</v>
      </c>
      <c r="Q5" s="222">
        <v>7.68410139539026E-5</v>
      </c>
      <c r="R5">
        <v>-261.47522568378702</v>
      </c>
    </row>
    <row r="6" spans="1:18" x14ac:dyDescent="0.25">
      <c r="B6" t="s">
        <v>1179</v>
      </c>
      <c r="C6">
        <v>-1.2085553531141899</v>
      </c>
      <c r="D6" s="222">
        <v>1.7366409652738299E-8</v>
      </c>
      <c r="E6" s="222">
        <v>1.36216800745214E-8</v>
      </c>
      <c r="F6" s="222">
        <v>7.7683571420091898E-9</v>
      </c>
      <c r="G6" s="222">
        <v>3.6200410771341801E-7</v>
      </c>
      <c r="H6">
        <v>-7.6260145717790102E-4</v>
      </c>
      <c r="I6">
        <v>-2.5438933133072601E-3</v>
      </c>
      <c r="J6" s="222">
        <v>4.3163828472478398E-2</v>
      </c>
      <c r="K6">
        <v>0.23853731715465301</v>
      </c>
      <c r="L6" s="222">
        <v>-1.29108874486653E-2</v>
      </c>
      <c r="M6">
        <v>0.151424367105155</v>
      </c>
      <c r="N6">
        <v>14.002042796656401</v>
      </c>
      <c r="O6">
        <v>146.149648541299</v>
      </c>
      <c r="P6">
        <v>0.34639509842319099</v>
      </c>
      <c r="Q6" s="222">
        <v>2.77985395683973E-5</v>
      </c>
      <c r="R6">
        <v>10.873613228674399</v>
      </c>
    </row>
    <row r="7" spans="1:18" x14ac:dyDescent="0.25">
      <c r="B7" t="s">
        <v>1180</v>
      </c>
      <c r="C7">
        <v>3.6067912504349202E-2</v>
      </c>
      <c r="D7" s="222">
        <v>-7.8264376761539395E-10</v>
      </c>
      <c r="E7" s="222">
        <v>-5.5211228189644197E-9</v>
      </c>
      <c r="F7" s="222">
        <v>5.2006610398789503E-8</v>
      </c>
      <c r="G7" s="222">
        <v>-9.0429017276650599E-10</v>
      </c>
      <c r="H7">
        <v>6.4993467976457997E-3</v>
      </c>
      <c r="I7" s="222">
        <v>2.4251713080294701E-5</v>
      </c>
      <c r="J7" s="222">
        <v>2.7592726927295E-4</v>
      </c>
      <c r="K7">
        <v>1.5829503509449401E-3</v>
      </c>
      <c r="L7" s="222">
        <v>1.4215029320854701E-3</v>
      </c>
      <c r="M7">
        <v>1.45012343047633E-2</v>
      </c>
      <c r="N7" s="222">
        <v>78.104337656088305</v>
      </c>
      <c r="O7">
        <v>0.57268273842105699</v>
      </c>
      <c r="P7">
        <v>8.4211119306051192E-3</v>
      </c>
      <c r="Q7" s="222">
        <v>1.6893911686183599E-6</v>
      </c>
      <c r="R7">
        <v>8.3038235093566795E-2</v>
      </c>
    </row>
    <row r="10" spans="1:18" x14ac:dyDescent="0.25">
      <c r="A10" t="s">
        <v>1102</v>
      </c>
      <c r="B10" t="s">
        <v>1140</v>
      </c>
      <c r="C10" t="s">
        <v>1145</v>
      </c>
      <c r="D10" t="s">
        <v>1146</v>
      </c>
      <c r="E10" t="s">
        <v>1147</v>
      </c>
      <c r="F10" t="s">
        <v>1148</v>
      </c>
      <c r="G10" t="s">
        <v>1149</v>
      </c>
      <c r="H10" t="s">
        <v>1150</v>
      </c>
      <c r="I10" t="s">
        <v>1151</v>
      </c>
      <c r="J10" t="s">
        <v>1152</v>
      </c>
      <c r="K10" t="s">
        <v>1153</v>
      </c>
      <c r="L10" t="s">
        <v>1154</v>
      </c>
      <c r="M10" t="s">
        <v>1155</v>
      </c>
      <c r="N10" t="s">
        <v>1156</v>
      </c>
      <c r="O10" t="s">
        <v>1157</v>
      </c>
      <c r="P10" t="s">
        <v>1158</v>
      </c>
      <c r="Q10" t="s">
        <v>1159</v>
      </c>
      <c r="R10" t="s">
        <v>1160</v>
      </c>
    </row>
    <row r="11" spans="1:18" x14ac:dyDescent="0.25">
      <c r="B11" t="s">
        <v>32</v>
      </c>
      <c r="C11" t="s">
        <v>1161</v>
      </c>
      <c r="D11" t="s">
        <v>1162</v>
      </c>
      <c r="E11" t="s">
        <v>1143</v>
      </c>
      <c r="F11" t="s">
        <v>1143</v>
      </c>
      <c r="G11" t="s">
        <v>1163</v>
      </c>
      <c r="H11" t="s">
        <v>1164</v>
      </c>
      <c r="I11" t="s">
        <v>1165</v>
      </c>
      <c r="J11" t="s">
        <v>1166</v>
      </c>
      <c r="K11" t="s">
        <v>1167</v>
      </c>
      <c r="L11" t="s">
        <v>1168</v>
      </c>
      <c r="M11" t="s">
        <v>1169</v>
      </c>
      <c r="N11" t="s">
        <v>1144</v>
      </c>
      <c r="O11" t="s">
        <v>1170</v>
      </c>
      <c r="P11" t="s">
        <v>1171</v>
      </c>
      <c r="Q11" t="s">
        <v>1172</v>
      </c>
      <c r="R11" t="s">
        <v>1173</v>
      </c>
    </row>
    <row r="12" spans="1:18" x14ac:dyDescent="0.25">
      <c r="B12" t="s">
        <v>1141</v>
      </c>
      <c r="C12">
        <v>-8.2731340393780801</v>
      </c>
      <c r="D12" s="222">
        <v>-7.0211070861677605E-7</v>
      </c>
      <c r="E12" s="222">
        <v>2.5624931194977503E-10</v>
      </c>
      <c r="F12" s="222">
        <v>1.4009779055299699E-7</v>
      </c>
      <c r="G12" s="222">
        <v>3.10493707369628E-7</v>
      </c>
      <c r="H12">
        <v>0.46160958833199001</v>
      </c>
      <c r="I12">
        <v>4.8934521379368802E-2</v>
      </c>
      <c r="J12">
        <v>6.54127956954587E-2</v>
      </c>
      <c r="K12">
        <v>0.296853058589926</v>
      </c>
      <c r="L12">
        <v>-5.7912959921914298E-3</v>
      </c>
      <c r="M12">
        <v>3.8955919927557502E-2</v>
      </c>
      <c r="N12">
        <v>101.276907862488</v>
      </c>
      <c r="O12">
        <v>381.90531957896002</v>
      </c>
      <c r="P12">
        <v>1.6618787085011899</v>
      </c>
      <c r="Q12" s="222">
        <v>1.4111189147767301E-4</v>
      </c>
      <c r="R12">
        <v>-237.264602879595</v>
      </c>
    </row>
    <row r="13" spans="1:18" x14ac:dyDescent="0.25">
      <c r="B13" t="s">
        <v>1175</v>
      </c>
      <c r="C13">
        <v>-10.113700781925299</v>
      </c>
      <c r="D13" s="222">
        <v>-7.1708136196193204E-7</v>
      </c>
      <c r="E13" s="222">
        <v>-1.5394422621120701E-8</v>
      </c>
      <c r="F13" s="222">
        <v>4.1186096179955101E-8</v>
      </c>
      <c r="G13" s="222">
        <v>1.78180382042149E-7</v>
      </c>
      <c r="H13">
        <v>0.46194437345123102</v>
      </c>
      <c r="I13">
        <v>3.4958060296227597E-2</v>
      </c>
      <c r="J13">
        <v>4.2884074720157997E-2</v>
      </c>
      <c r="K13">
        <v>0.20896237979706</v>
      </c>
      <c r="L13" s="222">
        <v>3.3670869368531201E-6</v>
      </c>
      <c r="M13">
        <v>1.8497482643550198E-2</v>
      </c>
      <c r="N13">
        <v>-35.295922167099</v>
      </c>
      <c r="O13">
        <v>135.62723982056301</v>
      </c>
      <c r="P13">
        <v>7.7346208380788296E-3</v>
      </c>
      <c r="Q13" s="222">
        <v>7.4684577030091398E-5</v>
      </c>
      <c r="R13">
        <v>-256.429476203663</v>
      </c>
    </row>
    <row r="14" spans="1:18" x14ac:dyDescent="0.25">
      <c r="B14" t="s">
        <v>1176</v>
      </c>
      <c r="C14">
        <v>2.0759883603160501</v>
      </c>
      <c r="D14" s="222">
        <v>1.5753297112771301E-8</v>
      </c>
      <c r="E14" s="222">
        <v>2.1211774313318098E-8</v>
      </c>
      <c r="F14" s="222">
        <v>5.7257726138837099E-8</v>
      </c>
      <c r="G14" s="222">
        <v>1.65824993575648E-7</v>
      </c>
      <c r="H14">
        <v>-6.8415530832460596E-3</v>
      </c>
      <c r="I14">
        <v>1.46953008886271E-2</v>
      </c>
      <c r="J14">
        <v>2.77878459466964E-2</v>
      </c>
      <c r="K14">
        <v>8.8072792036857001E-2</v>
      </c>
      <c r="L14">
        <v>1.9122931854391001E-4</v>
      </c>
      <c r="M14">
        <v>6.1166674181907599E-3</v>
      </c>
      <c r="N14">
        <v>59.040239782594298</v>
      </c>
      <c r="O14">
        <v>245.70539701997501</v>
      </c>
      <c r="P14">
        <v>1.6457229757325</v>
      </c>
      <c r="Q14" s="222">
        <v>6.4737923278963496E-5</v>
      </c>
      <c r="R14">
        <v>19.081835088974401</v>
      </c>
    </row>
    <row r="15" spans="1:18" x14ac:dyDescent="0.25">
      <c r="B15" t="s">
        <v>1177</v>
      </c>
      <c r="C15">
        <v>3.6067912504349202E-2</v>
      </c>
      <c r="D15" s="222">
        <v>-7.8264376761539395E-10</v>
      </c>
      <c r="E15" s="222">
        <v>-5.5211228189644197E-9</v>
      </c>
      <c r="F15" s="222">
        <v>5.2006610398789503E-8</v>
      </c>
      <c r="G15" s="222">
        <v>-9.0429017276650599E-10</v>
      </c>
      <c r="H15">
        <v>6.4993467976457997E-3</v>
      </c>
      <c r="I15" s="222">
        <v>2.4251713080294701E-5</v>
      </c>
      <c r="J15">
        <v>2.7592726927295E-4</v>
      </c>
      <c r="K15">
        <v>1.5829503509449401E-3</v>
      </c>
      <c r="L15">
        <v>1.4215029320854701E-3</v>
      </c>
      <c r="M15">
        <v>1.45012343047633E-2</v>
      </c>
      <c r="N15">
        <v>78.104337656088305</v>
      </c>
      <c r="O15">
        <v>0.57268273842105699</v>
      </c>
      <c r="P15">
        <v>8.4211119306051192E-3</v>
      </c>
      <c r="Q15" s="222">
        <v>1.6893911686183599E-6</v>
      </c>
      <c r="R15">
        <v>8.3038235093566795E-2</v>
      </c>
    </row>
    <row r="16" spans="1:18" x14ac:dyDescent="0.25">
      <c r="B16" t="s">
        <v>1178</v>
      </c>
      <c r="C16">
        <v>-0.27148953027313899</v>
      </c>
      <c r="D16">
        <v>0</v>
      </c>
      <c r="E16" s="222">
        <v>-3.9979561283230202E-11</v>
      </c>
      <c r="F16" s="222">
        <v>-1.0352642164583999E-8</v>
      </c>
      <c r="G16" s="222">
        <v>-3.2607378075402499E-8</v>
      </c>
      <c r="H16" s="222">
        <v>7.4211663586190298E-6</v>
      </c>
      <c r="I16">
        <v>-7.4309151856624895E-4</v>
      </c>
      <c r="J16">
        <v>-5.5350522406686399E-3</v>
      </c>
      <c r="K16">
        <v>-1.7650635949361701E-3</v>
      </c>
      <c r="L16">
        <v>-7.4073953297576801E-3</v>
      </c>
      <c r="M16">
        <v>-1.5946443894679E-4</v>
      </c>
      <c r="N16">
        <v>-0.57174740909549804</v>
      </c>
      <c r="O16">
        <v>0</v>
      </c>
      <c r="P16">
        <v>0</v>
      </c>
      <c r="Q16">
        <v>0</v>
      </c>
      <c r="R16">
        <v>0</v>
      </c>
    </row>
    <row r="19" spans="1:18" x14ac:dyDescent="0.25">
      <c r="A19" t="s">
        <v>1107</v>
      </c>
      <c r="B19" t="s">
        <v>1140</v>
      </c>
      <c r="C19" t="s">
        <v>1145</v>
      </c>
      <c r="D19" t="s">
        <v>1146</v>
      </c>
      <c r="E19" t="s">
        <v>1147</v>
      </c>
      <c r="F19" t="s">
        <v>1148</v>
      </c>
      <c r="G19" t="s">
        <v>1149</v>
      </c>
      <c r="H19" t="s">
        <v>1150</v>
      </c>
      <c r="I19" t="s">
        <v>1151</v>
      </c>
      <c r="J19" t="s">
        <v>1152</v>
      </c>
      <c r="K19" t="s">
        <v>1153</v>
      </c>
      <c r="L19" t="s">
        <v>1154</v>
      </c>
      <c r="M19" t="s">
        <v>1155</v>
      </c>
      <c r="N19" t="s">
        <v>1156</v>
      </c>
      <c r="O19" t="s">
        <v>1157</v>
      </c>
      <c r="P19" t="s">
        <v>1158</v>
      </c>
      <c r="Q19" t="s">
        <v>1159</v>
      </c>
      <c r="R19" t="s">
        <v>1160</v>
      </c>
    </row>
    <row r="20" spans="1:18" x14ac:dyDescent="0.25">
      <c r="B20" t="s">
        <v>32</v>
      </c>
      <c r="C20" t="s">
        <v>1161</v>
      </c>
      <c r="D20" t="s">
        <v>1162</v>
      </c>
      <c r="E20" t="s">
        <v>1143</v>
      </c>
      <c r="F20" t="s">
        <v>1143</v>
      </c>
      <c r="G20" t="s">
        <v>1163</v>
      </c>
      <c r="H20" t="s">
        <v>1164</v>
      </c>
      <c r="I20" t="s">
        <v>1165</v>
      </c>
      <c r="J20" t="s">
        <v>1166</v>
      </c>
      <c r="K20" t="s">
        <v>1167</v>
      </c>
      <c r="L20" t="s">
        <v>1168</v>
      </c>
      <c r="M20" t="s">
        <v>1169</v>
      </c>
      <c r="N20" t="s">
        <v>1144</v>
      </c>
      <c r="O20" t="s">
        <v>1170</v>
      </c>
      <c r="P20" t="s">
        <v>1171</v>
      </c>
      <c r="Q20" t="s">
        <v>1172</v>
      </c>
      <c r="R20" t="s">
        <v>1173</v>
      </c>
    </row>
    <row r="21" spans="1:18" x14ac:dyDescent="0.25">
      <c r="B21" t="s">
        <v>1141</v>
      </c>
      <c r="C21">
        <v>-14.554492661283501</v>
      </c>
      <c r="D21" s="222">
        <v>-5.0893166772353396E-7</v>
      </c>
      <c r="E21" s="222">
        <v>2.6908797522719501E-8</v>
      </c>
      <c r="F21" s="222">
        <v>1.01468916399292E-7</v>
      </c>
      <c r="G21" s="222">
        <v>5.3088155146566501E-7</v>
      </c>
      <c r="H21">
        <v>0.47818871780551298</v>
      </c>
      <c r="I21">
        <v>6.9277271164518997E-2</v>
      </c>
      <c r="J21">
        <v>8.1307068289173196E-2</v>
      </c>
      <c r="K21">
        <v>0.34576811297162702</v>
      </c>
      <c r="L21">
        <v>-2.35504973200401E-3</v>
      </c>
      <c r="M21">
        <v>6.3992582246667706E-2</v>
      </c>
      <c r="N21">
        <v>-0.17959781187941501</v>
      </c>
      <c r="O21">
        <v>431.52354084099301</v>
      </c>
      <c r="P21">
        <v>0.86738081792654498</v>
      </c>
      <c r="Q21" s="222">
        <v>1.2509458218851099E-4</v>
      </c>
      <c r="R21">
        <v>-90.320708487843206</v>
      </c>
    </row>
    <row r="22" spans="1:18" x14ac:dyDescent="0.25">
      <c r="B22" t="s">
        <v>1175</v>
      </c>
      <c r="C22">
        <v>-10.4474556648416</v>
      </c>
      <c r="D22" s="222">
        <v>-7.3083773428732801E-7</v>
      </c>
      <c r="E22" s="222">
        <v>-1.5385888530334399E-8</v>
      </c>
      <c r="F22" s="222">
        <v>4.2440764103386301E-8</v>
      </c>
      <c r="G22" s="222">
        <v>1.8094185048568199E-7</v>
      </c>
      <c r="H22">
        <v>0.470612354467844</v>
      </c>
      <c r="I22">
        <v>3.4486345915481199E-2</v>
      </c>
      <c r="J22">
        <v>4.2913336644602902E-2</v>
      </c>
      <c r="K22">
        <v>0.20900012221070499</v>
      </c>
      <c r="L22" s="222">
        <v>4.1071147193414099E-6</v>
      </c>
      <c r="M22">
        <v>1.8469489589963899E-2</v>
      </c>
      <c r="N22">
        <v>-35.796586724871503</v>
      </c>
      <c r="O22">
        <v>143.29442835465099</v>
      </c>
      <c r="P22">
        <v>1.19472049516473E-2</v>
      </c>
      <c r="Q22" s="222">
        <v>7.68410139539026E-5</v>
      </c>
      <c r="R22">
        <v>-261.47522568378702</v>
      </c>
    </row>
    <row r="23" spans="1:18" x14ac:dyDescent="0.25">
      <c r="B23" t="s">
        <v>1181</v>
      </c>
      <c r="C23">
        <v>4.0454430291727697</v>
      </c>
      <c r="D23" s="222">
        <v>2.21906066563794E-7</v>
      </c>
      <c r="E23" s="222">
        <v>4.2315156468573401E-8</v>
      </c>
      <c r="F23" s="222">
        <v>6.2427575077687799E-8</v>
      </c>
      <c r="G23" s="222">
        <v>2.71464313328993E-7</v>
      </c>
      <c r="H23">
        <v>7.5670802873223997E-3</v>
      </c>
      <c r="I23">
        <v>3.6732091294208201E-2</v>
      </c>
      <c r="J23">
        <v>2.8282885680697499E-2</v>
      </c>
      <c r="K23">
        <v>8.1740764349929301E-2</v>
      </c>
      <c r="L23" s="222">
        <v>8.6677136520491903E-5</v>
      </c>
      <c r="M23">
        <v>6.8216588402309599E-3</v>
      </c>
      <c r="N23">
        <v>35.181970945003798</v>
      </c>
      <c r="O23">
        <v>288.22911248634102</v>
      </c>
      <c r="P23">
        <v>0.85543361297489695</v>
      </c>
      <c r="Q23" s="222">
        <v>4.8253568234608401E-5</v>
      </c>
      <c r="R23">
        <v>171.15451719594401</v>
      </c>
    </row>
    <row r="24" spans="1:18" x14ac:dyDescent="0.25">
      <c r="B24" t="s">
        <v>1180</v>
      </c>
      <c r="C24">
        <v>0</v>
      </c>
      <c r="D24">
        <v>0</v>
      </c>
      <c r="E24">
        <v>0</v>
      </c>
      <c r="F24">
        <v>0</v>
      </c>
      <c r="G24">
        <v>0</v>
      </c>
      <c r="H24">
        <v>0</v>
      </c>
      <c r="I24">
        <v>0</v>
      </c>
      <c r="J24">
        <v>0</v>
      </c>
      <c r="K24">
        <v>0</v>
      </c>
      <c r="L24">
        <v>0</v>
      </c>
      <c r="M24">
        <v>0</v>
      </c>
      <c r="N24">
        <v>0</v>
      </c>
      <c r="O24">
        <v>0</v>
      </c>
      <c r="P24">
        <v>0</v>
      </c>
      <c r="Q24">
        <v>0</v>
      </c>
      <c r="R24">
        <v>0</v>
      </c>
    </row>
    <row r="25" spans="1:18" x14ac:dyDescent="0.25">
      <c r="B25" t="s">
        <v>1182</v>
      </c>
      <c r="C25">
        <v>-8.1524800256146399</v>
      </c>
      <c r="D25" s="222">
        <v>0</v>
      </c>
      <c r="E25" s="222">
        <v>-2.04704155193934E-11</v>
      </c>
      <c r="F25" s="222">
        <v>-3.3994227817812299E-9</v>
      </c>
      <c r="G25" s="222">
        <v>7.8475387650989601E-8</v>
      </c>
      <c r="H25" s="222">
        <v>9.2830503470114405E-6</v>
      </c>
      <c r="I25">
        <v>-1.9411660451704E-3</v>
      </c>
      <c r="J25">
        <v>1.01108459638728E-2</v>
      </c>
      <c r="K25">
        <v>5.5027226410992697E-2</v>
      </c>
      <c r="L25">
        <v>-2.4458339832438402E-3</v>
      </c>
      <c r="M25">
        <v>3.8701433816472799E-2</v>
      </c>
      <c r="N25">
        <v>0.43501796798833198</v>
      </c>
      <c r="O25">
        <v>0</v>
      </c>
      <c r="P25">
        <v>0</v>
      </c>
      <c r="Q25">
        <v>0</v>
      </c>
      <c r="R25">
        <v>0</v>
      </c>
    </row>
    <row r="28" spans="1:18" x14ac:dyDescent="0.25">
      <c r="A28" t="s">
        <v>1174</v>
      </c>
      <c r="B28" t="s">
        <v>1140</v>
      </c>
      <c r="C28" t="s">
        <v>1145</v>
      </c>
      <c r="D28" t="s">
        <v>1146</v>
      </c>
      <c r="E28" t="s">
        <v>1147</v>
      </c>
      <c r="F28" t="s">
        <v>1148</v>
      </c>
      <c r="G28" t="s">
        <v>1149</v>
      </c>
      <c r="H28" t="s">
        <v>1150</v>
      </c>
      <c r="I28" t="s">
        <v>1151</v>
      </c>
      <c r="J28" t="s">
        <v>1152</v>
      </c>
      <c r="K28" t="s">
        <v>1153</v>
      </c>
      <c r="L28" t="s">
        <v>1154</v>
      </c>
      <c r="M28" t="s">
        <v>1155</v>
      </c>
      <c r="N28" t="s">
        <v>1156</v>
      </c>
      <c r="O28" t="s">
        <v>1157</v>
      </c>
      <c r="P28" t="s">
        <v>1158</v>
      </c>
      <c r="Q28" t="s">
        <v>1159</v>
      </c>
      <c r="R28" t="s">
        <v>1160</v>
      </c>
    </row>
    <row r="29" spans="1:18" x14ac:dyDescent="0.25">
      <c r="B29" t="s">
        <v>32</v>
      </c>
      <c r="C29" t="s">
        <v>1161</v>
      </c>
      <c r="D29" t="s">
        <v>1162</v>
      </c>
      <c r="E29" t="s">
        <v>1143</v>
      </c>
      <c r="F29" t="s">
        <v>1143</v>
      </c>
      <c r="G29" t="s">
        <v>1163</v>
      </c>
      <c r="H29" t="s">
        <v>1164</v>
      </c>
      <c r="I29" t="s">
        <v>1165</v>
      </c>
      <c r="J29" t="s">
        <v>1166</v>
      </c>
      <c r="K29" t="s">
        <v>1167</v>
      </c>
      <c r="L29" t="s">
        <v>1168</v>
      </c>
      <c r="M29" t="s">
        <v>1169</v>
      </c>
      <c r="N29" t="s">
        <v>1144</v>
      </c>
      <c r="O29" t="s">
        <v>1170</v>
      </c>
      <c r="P29" t="s">
        <v>1171</v>
      </c>
      <c r="Q29" t="s">
        <v>1172</v>
      </c>
      <c r="R29" t="s">
        <v>1173</v>
      </c>
    </row>
    <row r="30" spans="1:18" x14ac:dyDescent="0.25">
      <c r="B30" t="s">
        <v>1141</v>
      </c>
      <c r="C30">
        <v>14.4030910966408</v>
      </c>
      <c r="D30" s="222">
        <v>-6.9422118010251703E-10</v>
      </c>
      <c r="E30" s="222">
        <v>-5.49845269492139E-9</v>
      </c>
      <c r="F30" s="222">
        <v>2.3744371127105301E-8</v>
      </c>
      <c r="G30" s="222">
        <v>1.70982782953019E-7</v>
      </c>
      <c r="H30">
        <v>6.59882938689912E-3</v>
      </c>
      <c r="I30">
        <v>-6.5514708307753498E-3</v>
      </c>
      <c r="J30">
        <v>2.0145705584760198E-2</v>
      </c>
      <c r="K30">
        <v>0.16232199316912199</v>
      </c>
      <c r="L30">
        <v>-2.4038468766102598E-2</v>
      </c>
      <c r="M30">
        <v>7.5703634607257805E-2</v>
      </c>
      <c r="N30">
        <v>78.0957014491362</v>
      </c>
      <c r="O30">
        <v>2.5658791143436899</v>
      </c>
      <c r="P30">
        <v>1.01287049492937E-2</v>
      </c>
      <c r="Q30" s="222">
        <v>1.9735799799986099E-6</v>
      </c>
      <c r="R30">
        <v>0.121645939197169</v>
      </c>
    </row>
    <row r="31" spans="1:18" x14ac:dyDescent="0.25">
      <c r="B31" t="s">
        <v>1183</v>
      </c>
      <c r="C31">
        <v>18.127540520460901</v>
      </c>
      <c r="D31" s="222">
        <v>8.5099431498768206E-11</v>
      </c>
      <c r="E31" s="222">
        <v>1.32649647051317E-10</v>
      </c>
      <c r="F31" s="222">
        <v>1.3654610279733599E-9</v>
      </c>
      <c r="G31" s="222">
        <v>1.75326120496116E-9</v>
      </c>
      <c r="H31" s="222">
        <v>8.2777759762591094E-5</v>
      </c>
      <c r="I31">
        <v>4.18058125051119E-4</v>
      </c>
      <c r="J31">
        <v>3.8122411816091198E-4</v>
      </c>
      <c r="K31">
        <v>1.8542546257140999E-3</v>
      </c>
      <c r="L31" s="222">
        <v>3.2267132083547501E-7</v>
      </c>
      <c r="M31">
        <v>1.58369082168844E-4</v>
      </c>
      <c r="N31">
        <v>0.112547466912174</v>
      </c>
      <c r="O31">
        <v>1.9956280238384601</v>
      </c>
      <c r="P31">
        <v>1.7433496041437499E-3</v>
      </c>
      <c r="Q31" s="222">
        <v>2.9136207545578599E-7</v>
      </c>
      <c r="R31">
        <v>3.8960289815992498E-2</v>
      </c>
    </row>
    <row r="32" spans="1:18" x14ac:dyDescent="0.25">
      <c r="B32" t="s">
        <v>1180</v>
      </c>
      <c r="C32">
        <v>3.59147658170378E-2</v>
      </c>
      <c r="D32" s="222">
        <v>-7.7932061160128495E-10</v>
      </c>
      <c r="E32" s="222">
        <v>-5.4976797746833899E-9</v>
      </c>
      <c r="F32" s="222">
        <v>5.1785786970211499E-8</v>
      </c>
      <c r="G32" s="222">
        <v>-9.0045049825496797E-10</v>
      </c>
      <c r="H32">
        <v>6.4717501511355E-3</v>
      </c>
      <c r="I32" s="222">
        <v>2.4148738739336501E-5</v>
      </c>
      <c r="J32">
        <v>2.7475566425635999E-4</v>
      </c>
      <c r="K32">
        <v>1.57622904145977E-3</v>
      </c>
      <c r="L32" s="222">
        <v>1.41546713877401E-3</v>
      </c>
      <c r="M32" s="222">
        <v>1.4439661126791599E-2</v>
      </c>
      <c r="N32">
        <v>77.772701591061406</v>
      </c>
      <c r="O32">
        <v>0.57025109050522604</v>
      </c>
      <c r="P32">
        <v>8.38535534514997E-3</v>
      </c>
      <c r="Q32" s="222">
        <v>1.6822179045428301E-6</v>
      </c>
      <c r="R32">
        <v>8.2685649381177007E-2</v>
      </c>
    </row>
    <row r="33" spans="1:18" x14ac:dyDescent="0.25">
      <c r="B33" t="s">
        <v>1184</v>
      </c>
      <c r="C33">
        <v>-3.76036418963717</v>
      </c>
      <c r="D33">
        <v>0</v>
      </c>
      <c r="E33" s="222">
        <v>-1.3342256728931501E-10</v>
      </c>
      <c r="F33" s="222">
        <v>-2.9406876871079501E-8</v>
      </c>
      <c r="G33" s="222">
        <v>1.7012997224631301E-7</v>
      </c>
      <c r="H33" s="222">
        <v>4.4301476001025503E-5</v>
      </c>
      <c r="I33">
        <v>-6.9936776945658096E-3</v>
      </c>
      <c r="J33">
        <v>1.94897258023429E-2</v>
      </c>
      <c r="K33">
        <v>0.158891509501949</v>
      </c>
      <c r="L33">
        <v>-2.5454258576197399E-2</v>
      </c>
      <c r="M33">
        <v>6.1105604398297299E-2</v>
      </c>
      <c r="N33">
        <v>0.21045239116262299</v>
      </c>
      <c r="O33">
        <v>0</v>
      </c>
      <c r="P33">
        <v>0</v>
      </c>
      <c r="Q33">
        <v>0</v>
      </c>
      <c r="R33">
        <v>0</v>
      </c>
    </row>
    <row r="36" spans="1:18" x14ac:dyDescent="0.25">
      <c r="A36" t="s">
        <v>1192</v>
      </c>
      <c r="B36" t="s">
        <v>1140</v>
      </c>
      <c r="C36" t="s">
        <v>1145</v>
      </c>
      <c r="D36" t="s">
        <v>1146</v>
      </c>
      <c r="E36" t="s">
        <v>1147</v>
      </c>
      <c r="F36" t="s">
        <v>1148</v>
      </c>
      <c r="G36" t="s">
        <v>1149</v>
      </c>
      <c r="H36" t="s">
        <v>1150</v>
      </c>
      <c r="I36" t="s">
        <v>1151</v>
      </c>
      <c r="J36" t="s">
        <v>1152</v>
      </c>
      <c r="K36" t="s">
        <v>1153</v>
      </c>
      <c r="L36" t="s">
        <v>1154</v>
      </c>
      <c r="M36" t="s">
        <v>1155</v>
      </c>
      <c r="N36" t="s">
        <v>1156</v>
      </c>
      <c r="O36" t="s">
        <v>1157</v>
      </c>
      <c r="P36" t="s">
        <v>1158</v>
      </c>
      <c r="Q36" t="s">
        <v>1159</v>
      </c>
      <c r="R36" t="s">
        <v>1160</v>
      </c>
    </row>
    <row r="37" spans="1:18" x14ac:dyDescent="0.25">
      <c r="B37" t="s">
        <v>32</v>
      </c>
      <c r="C37" t="s">
        <v>1161</v>
      </c>
      <c r="D37" t="s">
        <v>1162</v>
      </c>
      <c r="E37" t="s">
        <v>1143</v>
      </c>
      <c r="F37" t="s">
        <v>1143</v>
      </c>
      <c r="G37" t="s">
        <v>1163</v>
      </c>
      <c r="H37" t="s">
        <v>1164</v>
      </c>
      <c r="I37" t="s">
        <v>1165</v>
      </c>
      <c r="J37" t="s">
        <v>1166</v>
      </c>
      <c r="K37" t="s">
        <v>1167</v>
      </c>
      <c r="L37" t="s">
        <v>1168</v>
      </c>
      <c r="M37" t="s">
        <v>1169</v>
      </c>
      <c r="N37" t="s">
        <v>1144</v>
      </c>
      <c r="O37" t="s">
        <v>1170</v>
      </c>
      <c r="P37" t="s">
        <v>1171</v>
      </c>
      <c r="Q37" t="s">
        <v>1172</v>
      </c>
      <c r="R37" t="s">
        <v>1173</v>
      </c>
    </row>
    <row r="38" spans="1:18" x14ac:dyDescent="0.25">
      <c r="B38" t="s">
        <v>1141</v>
      </c>
      <c r="C38">
        <v>14.6709744476333</v>
      </c>
      <c r="D38" s="222">
        <v>-6.9422118010251703E-10</v>
      </c>
      <c r="E38" s="222">
        <v>-5.4957774869921103E-9</v>
      </c>
      <c r="F38" s="222">
        <v>2.3641522995334401E-8</v>
      </c>
      <c r="G38" s="222">
        <v>-4.99576921029971E-8</v>
      </c>
      <c r="H38">
        <v>6.58471728475255E-3</v>
      </c>
      <c r="I38">
        <v>-6.01775266924451E-3</v>
      </c>
      <c r="J38">
        <v>-1.1344974433275401E-2</v>
      </c>
      <c r="K38">
        <v>2.1003096596155301E-2</v>
      </c>
      <c r="L38">
        <v>-2.4038477228690701E-2</v>
      </c>
      <c r="M38">
        <v>8.1935126061732796E-2</v>
      </c>
      <c r="N38">
        <v>76.657997242081095</v>
      </c>
      <c r="O38">
        <v>2.5658791143436899</v>
      </c>
      <c r="P38">
        <v>1.01287049492937E-2</v>
      </c>
      <c r="Q38" s="222">
        <v>1.9735799799986099E-6</v>
      </c>
      <c r="R38">
        <v>0.121645939197169</v>
      </c>
    </row>
    <row r="39" spans="1:18" x14ac:dyDescent="0.25">
      <c r="B39" t="s">
        <v>1183</v>
      </c>
      <c r="C39">
        <v>18.1275406149324</v>
      </c>
      <c r="D39" s="222">
        <v>8.5099431498768206E-11</v>
      </c>
      <c r="E39" s="222">
        <v>1.3264964768765601E-10</v>
      </c>
      <c r="F39" s="222">
        <v>1.3654610332114901E-9</v>
      </c>
      <c r="G39" s="222">
        <v>1.7532622625192701E-9</v>
      </c>
      <c r="H39" s="222">
        <v>8.27778934894925E-5</v>
      </c>
      <c r="I39">
        <v>4.1805841933142702E-4</v>
      </c>
      <c r="J39">
        <v>3.8122442257155402E-4</v>
      </c>
      <c r="K39">
        <v>1.85425594563422E-3</v>
      </c>
      <c r="L39" s="222">
        <v>3.2267140102733202E-7</v>
      </c>
      <c r="M39">
        <v>1.5836919748254101E-4</v>
      </c>
      <c r="N39">
        <v>0.11254753544804499</v>
      </c>
      <c r="O39">
        <v>1.9956280238384601</v>
      </c>
      <c r="P39">
        <v>1.7433496041437499E-3</v>
      </c>
      <c r="Q39" s="222">
        <v>2.9136207545578599E-7</v>
      </c>
      <c r="R39">
        <v>3.8960289815992498E-2</v>
      </c>
    </row>
    <row r="40" spans="1:18" x14ac:dyDescent="0.25">
      <c r="B40" t="s">
        <v>1180</v>
      </c>
      <c r="C40">
        <v>3.59147658170378E-2</v>
      </c>
      <c r="D40" s="222">
        <v>-7.7932061160128495E-10</v>
      </c>
      <c r="E40" s="222">
        <v>-5.4976797746833899E-9</v>
      </c>
      <c r="F40" s="222">
        <v>5.1785786970211499E-8</v>
      </c>
      <c r="G40" s="222">
        <v>-9.0045049825496797E-10</v>
      </c>
      <c r="H40">
        <v>6.4717501511355E-3</v>
      </c>
      <c r="I40" s="222">
        <v>2.4148738739336501E-5</v>
      </c>
      <c r="J40">
        <v>2.7475566425635999E-4</v>
      </c>
      <c r="K40">
        <v>1.57622904145977E-3</v>
      </c>
      <c r="L40" s="222">
        <v>1.41546713877401E-3</v>
      </c>
      <c r="M40" s="222">
        <v>1.4439661126791599E-2</v>
      </c>
      <c r="N40">
        <v>77.772701591061406</v>
      </c>
      <c r="O40">
        <v>0.57025109050522604</v>
      </c>
      <c r="P40">
        <v>8.38535534514997E-3</v>
      </c>
      <c r="Q40" s="222">
        <v>1.6822179045428301E-6</v>
      </c>
      <c r="R40">
        <v>8.2685649381177007E-2</v>
      </c>
    </row>
    <row r="41" spans="1:18" x14ac:dyDescent="0.25">
      <c r="B41" t="s">
        <v>1185</v>
      </c>
      <c r="C41">
        <v>7.8187197398309996E-2</v>
      </c>
      <c r="D41">
        <v>0</v>
      </c>
      <c r="E41">
        <v>0</v>
      </c>
      <c r="F41" s="222">
        <v>4.5952878470911397E-12</v>
      </c>
      <c r="G41">
        <v>0</v>
      </c>
      <c r="H41">
        <v>0</v>
      </c>
      <c r="I41">
        <v>0</v>
      </c>
      <c r="J41">
        <v>0</v>
      </c>
      <c r="K41">
        <v>0</v>
      </c>
      <c r="L41">
        <v>0</v>
      </c>
      <c r="M41">
        <v>0</v>
      </c>
      <c r="N41">
        <v>0</v>
      </c>
      <c r="O41">
        <v>0</v>
      </c>
      <c r="P41">
        <v>0</v>
      </c>
      <c r="Q41">
        <v>0</v>
      </c>
      <c r="R41">
        <v>0</v>
      </c>
    </row>
    <row r="42" spans="1:18" x14ac:dyDescent="0.25">
      <c r="B42" t="s">
        <v>1186</v>
      </c>
      <c r="C42">
        <v>-3.5706681305144699</v>
      </c>
      <c r="D42">
        <v>0</v>
      </c>
      <c r="E42" s="222">
        <v>-1.3074735999637399E-10</v>
      </c>
      <c r="F42" s="222">
        <v>-2.9514320295935598E-8</v>
      </c>
      <c r="G42" s="222">
        <v>-5.0810503867261498E-8</v>
      </c>
      <c r="H42" s="222">
        <v>3.0189240127554598E-5</v>
      </c>
      <c r="I42">
        <v>-6.45995982731528E-3</v>
      </c>
      <c r="J42">
        <v>-1.20009545201033E-2</v>
      </c>
      <c r="K42">
        <v>1.75726116090613E-2</v>
      </c>
      <c r="L42">
        <v>-2.5454267038865701E-2</v>
      </c>
      <c r="M42">
        <v>6.7337095737458594E-2</v>
      </c>
      <c r="N42">
        <v>-1.22725188442832</v>
      </c>
      <c r="O42">
        <v>0</v>
      </c>
      <c r="P42">
        <v>0</v>
      </c>
      <c r="Q42">
        <v>0</v>
      </c>
      <c r="R42">
        <v>0</v>
      </c>
    </row>
    <row r="44" spans="1:18" x14ac:dyDescent="0.25">
      <c r="A44" s="18" t="s">
        <v>1200</v>
      </c>
      <c r="C44" t="s">
        <v>1145</v>
      </c>
      <c r="D44" t="s">
        <v>1146</v>
      </c>
      <c r="E44" t="s">
        <v>1147</v>
      </c>
      <c r="F44" t="s">
        <v>1148</v>
      </c>
      <c r="G44" t="s">
        <v>1149</v>
      </c>
      <c r="H44" t="s">
        <v>1150</v>
      </c>
      <c r="I44" t="s">
        <v>1151</v>
      </c>
      <c r="J44" t="s">
        <v>1152</v>
      </c>
      <c r="K44" t="s">
        <v>1153</v>
      </c>
      <c r="L44" t="s">
        <v>1154</v>
      </c>
      <c r="M44" t="s">
        <v>1155</v>
      </c>
      <c r="N44" t="s">
        <v>1156</v>
      </c>
      <c r="O44" t="s">
        <v>1157</v>
      </c>
      <c r="P44" t="s">
        <v>1158</v>
      </c>
      <c r="Q44" t="s">
        <v>1159</v>
      </c>
      <c r="R44" t="s">
        <v>1160</v>
      </c>
    </row>
    <row r="45" spans="1:18" x14ac:dyDescent="0.25">
      <c r="A45" t="s">
        <v>1193</v>
      </c>
      <c r="B45" t="s">
        <v>1188</v>
      </c>
      <c r="C45">
        <f>+C4</f>
        <v>-11.619943105451499</v>
      </c>
      <c r="D45">
        <f t="shared" ref="D45:R45" si="0">+D4</f>
        <v>-7.1425396840220499E-7</v>
      </c>
      <c r="E45">
        <f t="shared" si="0"/>
        <v>-7.2853312747774699E-9</v>
      </c>
      <c r="F45">
        <f t="shared" si="0"/>
        <v>1.02215731644185E-7</v>
      </c>
      <c r="G45">
        <f t="shared" si="0"/>
        <v>5.4204166802633395E-7</v>
      </c>
      <c r="H45">
        <f t="shared" si="0"/>
        <v>0.47634909980831203</v>
      </c>
      <c r="I45">
        <f t="shared" si="0"/>
        <v>3.1966704315254203E-2</v>
      </c>
      <c r="J45">
        <f t="shared" si="0"/>
        <v>8.6353092386354302E-2</v>
      </c>
      <c r="K45">
        <f t="shared" si="0"/>
        <v>0.44912038971630402</v>
      </c>
      <c r="L45">
        <f t="shared" si="0"/>
        <v>-1.1485277401860399E-2</v>
      </c>
      <c r="M45">
        <f t="shared" si="0"/>
        <v>0.18439509099988299</v>
      </c>
      <c r="N45">
        <f t="shared" si="0"/>
        <v>56.309793727873199</v>
      </c>
      <c r="O45">
        <f t="shared" si="0"/>
        <v>290.01675963437202</v>
      </c>
      <c r="P45">
        <f t="shared" si="0"/>
        <v>0.36676341530544398</v>
      </c>
      <c r="Q45">
        <f t="shared" si="0"/>
        <v>1.06328944690918E-4</v>
      </c>
      <c r="R45">
        <f t="shared" si="0"/>
        <v>-250.51857422001899</v>
      </c>
    </row>
    <row r="46" spans="1:18" x14ac:dyDescent="0.25">
      <c r="A46" t="s">
        <v>1194</v>
      </c>
      <c r="B46" t="s">
        <v>1187</v>
      </c>
      <c r="C46">
        <f>+C12</f>
        <v>-8.2731340393780801</v>
      </c>
      <c r="D46">
        <f t="shared" ref="D46:R46" si="1">+D12</f>
        <v>-7.0211070861677605E-7</v>
      </c>
      <c r="E46">
        <f t="shared" si="1"/>
        <v>2.5624931194977503E-10</v>
      </c>
      <c r="F46">
        <f t="shared" si="1"/>
        <v>1.4009779055299699E-7</v>
      </c>
      <c r="G46">
        <f t="shared" si="1"/>
        <v>3.10493707369628E-7</v>
      </c>
      <c r="H46">
        <f t="shared" si="1"/>
        <v>0.46160958833199001</v>
      </c>
      <c r="I46">
        <f t="shared" si="1"/>
        <v>4.8934521379368802E-2</v>
      </c>
      <c r="J46">
        <f t="shared" si="1"/>
        <v>6.54127956954587E-2</v>
      </c>
      <c r="K46">
        <f t="shared" si="1"/>
        <v>0.296853058589926</v>
      </c>
      <c r="L46">
        <f t="shared" si="1"/>
        <v>-5.7912959921914298E-3</v>
      </c>
      <c r="M46">
        <f t="shared" si="1"/>
        <v>3.8955919927557502E-2</v>
      </c>
      <c r="N46">
        <f t="shared" si="1"/>
        <v>101.276907862488</v>
      </c>
      <c r="O46">
        <f t="shared" si="1"/>
        <v>381.90531957896002</v>
      </c>
      <c r="P46">
        <f t="shared" si="1"/>
        <v>1.6618787085011899</v>
      </c>
      <c r="Q46">
        <f t="shared" si="1"/>
        <v>1.4111189147767301E-4</v>
      </c>
      <c r="R46">
        <f t="shared" si="1"/>
        <v>-237.264602879595</v>
      </c>
    </row>
    <row r="47" spans="1:18" x14ac:dyDescent="0.25">
      <c r="A47" t="s">
        <v>1195</v>
      </c>
      <c r="B47" t="s">
        <v>1189</v>
      </c>
      <c r="C47">
        <f>+C21</f>
        <v>-14.554492661283501</v>
      </c>
      <c r="D47">
        <f t="shared" ref="D47:R47" si="2">+D21</f>
        <v>-5.0893166772353396E-7</v>
      </c>
      <c r="E47">
        <f t="shared" si="2"/>
        <v>2.6908797522719501E-8</v>
      </c>
      <c r="F47">
        <f t="shared" si="2"/>
        <v>1.01468916399292E-7</v>
      </c>
      <c r="G47">
        <f t="shared" si="2"/>
        <v>5.3088155146566501E-7</v>
      </c>
      <c r="H47">
        <f t="shared" si="2"/>
        <v>0.47818871780551298</v>
      </c>
      <c r="I47">
        <f t="shared" si="2"/>
        <v>6.9277271164518997E-2</v>
      </c>
      <c r="J47">
        <f t="shared" si="2"/>
        <v>8.1307068289173196E-2</v>
      </c>
      <c r="K47">
        <f t="shared" si="2"/>
        <v>0.34576811297162702</v>
      </c>
      <c r="L47">
        <f t="shared" si="2"/>
        <v>-2.35504973200401E-3</v>
      </c>
      <c r="M47">
        <f t="shared" si="2"/>
        <v>6.3992582246667706E-2</v>
      </c>
      <c r="N47">
        <f t="shared" si="2"/>
        <v>-0.17959781187941501</v>
      </c>
      <c r="O47">
        <f t="shared" si="2"/>
        <v>431.52354084099301</v>
      </c>
      <c r="P47">
        <f t="shared" si="2"/>
        <v>0.86738081792654498</v>
      </c>
      <c r="Q47">
        <f t="shared" si="2"/>
        <v>1.2509458218851099E-4</v>
      </c>
      <c r="R47">
        <f t="shared" si="2"/>
        <v>-90.320708487843206</v>
      </c>
    </row>
    <row r="48" spans="1:18" x14ac:dyDescent="0.25">
      <c r="A48" t="s">
        <v>1196</v>
      </c>
      <c r="B48" t="s">
        <v>1190</v>
      </c>
      <c r="C48">
        <f>+C30</f>
        <v>14.4030910966408</v>
      </c>
      <c r="D48">
        <f t="shared" ref="D48:R48" si="3">+D30</f>
        <v>-6.9422118010251703E-10</v>
      </c>
      <c r="E48">
        <f t="shared" si="3"/>
        <v>-5.49845269492139E-9</v>
      </c>
      <c r="F48">
        <f t="shared" si="3"/>
        <v>2.3744371127105301E-8</v>
      </c>
      <c r="G48">
        <f t="shared" si="3"/>
        <v>1.70982782953019E-7</v>
      </c>
      <c r="H48">
        <f t="shared" si="3"/>
        <v>6.59882938689912E-3</v>
      </c>
      <c r="I48">
        <f t="shared" si="3"/>
        <v>-6.5514708307753498E-3</v>
      </c>
      <c r="J48">
        <f t="shared" si="3"/>
        <v>2.0145705584760198E-2</v>
      </c>
      <c r="K48">
        <f t="shared" si="3"/>
        <v>0.16232199316912199</v>
      </c>
      <c r="L48">
        <f t="shared" si="3"/>
        <v>-2.4038468766102598E-2</v>
      </c>
      <c r="M48">
        <f t="shared" si="3"/>
        <v>7.5703634607257805E-2</v>
      </c>
      <c r="N48">
        <f t="shared" si="3"/>
        <v>78.0957014491362</v>
      </c>
      <c r="O48">
        <f t="shared" si="3"/>
        <v>2.5658791143436899</v>
      </c>
      <c r="P48">
        <f t="shared" si="3"/>
        <v>1.01287049492937E-2</v>
      </c>
      <c r="Q48">
        <f t="shared" si="3"/>
        <v>1.9735799799986099E-6</v>
      </c>
      <c r="R48">
        <f t="shared" si="3"/>
        <v>0.121645939197169</v>
      </c>
    </row>
    <row r="49" spans="1:18" x14ac:dyDescent="0.25">
      <c r="A49" t="s">
        <v>1197</v>
      </c>
      <c r="B49" t="s">
        <v>1191</v>
      </c>
      <c r="C49">
        <f>+C38</f>
        <v>14.6709744476333</v>
      </c>
      <c r="D49">
        <f t="shared" ref="D49:R49" si="4">+D38</f>
        <v>-6.9422118010251703E-10</v>
      </c>
      <c r="E49">
        <f t="shared" si="4"/>
        <v>-5.4957774869921103E-9</v>
      </c>
      <c r="F49">
        <f t="shared" si="4"/>
        <v>2.3641522995334401E-8</v>
      </c>
      <c r="G49">
        <f t="shared" si="4"/>
        <v>-4.99576921029971E-8</v>
      </c>
      <c r="H49">
        <f t="shared" si="4"/>
        <v>6.58471728475255E-3</v>
      </c>
      <c r="I49">
        <f t="shared" si="4"/>
        <v>-6.01775266924451E-3</v>
      </c>
      <c r="J49">
        <f t="shared" si="4"/>
        <v>-1.1344974433275401E-2</v>
      </c>
      <c r="K49">
        <f t="shared" si="4"/>
        <v>2.1003096596155301E-2</v>
      </c>
      <c r="L49">
        <f t="shared" si="4"/>
        <v>-2.4038477228690701E-2</v>
      </c>
      <c r="M49">
        <f t="shared" si="4"/>
        <v>8.1935126061732796E-2</v>
      </c>
      <c r="N49">
        <f t="shared" si="4"/>
        <v>76.657997242081095</v>
      </c>
      <c r="O49">
        <f t="shared" si="4"/>
        <v>2.5658791143436899</v>
      </c>
      <c r="P49">
        <f t="shared" si="4"/>
        <v>1.01287049492937E-2</v>
      </c>
      <c r="Q49">
        <f t="shared" si="4"/>
        <v>1.9735799799986099E-6</v>
      </c>
      <c r="R49">
        <f t="shared" si="4"/>
        <v>0.121645939197169</v>
      </c>
    </row>
    <row r="71" spans="2:7" x14ac:dyDescent="0.25">
      <c r="C71" t="s">
        <v>1198</v>
      </c>
      <c r="D71" t="s">
        <v>1199</v>
      </c>
    </row>
    <row r="72" spans="2:7" x14ac:dyDescent="0.25">
      <c r="B72" t="s">
        <v>1193</v>
      </c>
      <c r="C72">
        <v>-11.619943105451499</v>
      </c>
      <c r="D72">
        <v>0.37</v>
      </c>
      <c r="F72">
        <v>0.77649999999999997</v>
      </c>
      <c r="G72">
        <f>+F72/$F$76</f>
        <v>0.83012614924096639</v>
      </c>
    </row>
    <row r="73" spans="2:7" x14ac:dyDescent="0.25">
      <c r="B73" t="s">
        <v>1194</v>
      </c>
      <c r="C73">
        <v>-8.2731340393780801</v>
      </c>
      <c r="D73">
        <v>0.21199999999999999</v>
      </c>
      <c r="F73">
        <v>0.77649999999999997</v>
      </c>
      <c r="G73">
        <f>+F73/$F$76</f>
        <v>0.83012614924096639</v>
      </c>
    </row>
    <row r="74" spans="2:7" x14ac:dyDescent="0.25">
      <c r="B74" t="s">
        <v>1195</v>
      </c>
      <c r="C74">
        <v>-14.554492661283501</v>
      </c>
      <c r="D74">
        <v>6.8000000000000005E-2</v>
      </c>
      <c r="F74">
        <v>0.77649999999999997</v>
      </c>
      <c r="G74">
        <f>+F74/$F$76</f>
        <v>0.83012614924096639</v>
      </c>
    </row>
    <row r="75" spans="2:7" x14ac:dyDescent="0.25">
      <c r="B75" t="s">
        <v>1196</v>
      </c>
      <c r="C75">
        <v>14.4030910966408</v>
      </c>
      <c r="D75">
        <v>0.48899999999999999</v>
      </c>
      <c r="F75">
        <v>0.93540000000000001</v>
      </c>
      <c r="G75">
        <f>+F75/$F$76</f>
        <v>1</v>
      </c>
    </row>
    <row r="76" spans="2:7" x14ac:dyDescent="0.25">
      <c r="B76" t="s">
        <v>1197</v>
      </c>
      <c r="C76">
        <v>14.6709744476333</v>
      </c>
      <c r="D76">
        <v>0.48899999999999999</v>
      </c>
      <c r="F76">
        <v>0.93540000000000001</v>
      </c>
      <c r="G76">
        <f>+F76/$F$76</f>
        <v>1</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anva documents" ma:contentTypeID="0x010100BAABC410790270448144E518B2A3958C003F49785663BFAF4D9730533E4314F7FD" ma:contentTypeVersion="21" ma:contentTypeDescription="Create a new document." ma:contentTypeScope="" ma:versionID="4bceeba1491ed577a054334eca95f74d">
  <xsd:schema xmlns:xsd="http://www.w3.org/2001/XMLSchema" xmlns:xs="http://www.w3.org/2001/XMLSchema" xmlns:p="http://schemas.microsoft.com/office/2006/metadata/properties" xmlns:ns2="85439af3-7d87-4228-a591-9885807d76d2" xmlns:ns3="7b905fab-6916-497b-9ff3-434de14b7d0f" targetNamespace="http://schemas.microsoft.com/office/2006/metadata/properties" ma:root="true" ma:fieldsID="dc4aa295aec562e5b3af9759b65abdb0" ns2:_="" ns3:_="">
    <xsd:import namespace="85439af3-7d87-4228-a591-9885807d76d2"/>
    <xsd:import namespace="7b905fab-6916-497b-9ff3-434de14b7d0f"/>
    <xsd:element name="properties">
      <xsd:complexType>
        <xsd:sequence>
          <xsd:element name="documentManagement">
            <xsd:complexType>
              <xsd:all>
                <xsd:element ref="ns2:Danva_Emneord" minOccurs="0"/>
                <xsd:element ref="ns2:Danva_Dokumenttype" minOccurs="0"/>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AutoKeyPoints" minOccurs="0"/>
                <xsd:element ref="ns3:MediaServiceKeyPoints" minOccurs="0"/>
                <xsd:element ref="ns3:MediaServiceLocation" minOccurs="0"/>
                <xsd:element ref="ns3:MediaServiceOCR" minOccurs="0"/>
                <xsd:element ref="ns2:SharedWithUsers" minOccurs="0"/>
                <xsd:element ref="ns2:SharedWithDetail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439af3-7d87-4228-a591-9885807d76d2" elementFormDefault="qualified">
    <xsd:import namespace="http://schemas.microsoft.com/office/2006/documentManagement/types"/>
    <xsd:import namespace="http://schemas.microsoft.com/office/infopath/2007/PartnerControls"/>
    <xsd:element name="Danva_Emneord" ma:index="8" nillable="true" ma:displayName="Danva Emneord" ma:default="" ma:internalName="Danva_x0020_Emneord">
      <xsd:complexType>
        <xsd:complexContent>
          <xsd:extension base="dms:MultiChoice">
            <xsd:sequence>
              <xsd:element name="Value" maxOccurs="unbounded" minOccurs="0" nillable="true">
                <xsd:simpleType>
                  <xsd:restriction base="dms:Choice">
                    <xsd:enumeration value="Grundvand"/>
                    <xsd:enumeration value="Drikkevand"/>
                    <xsd:enumeration value="Spildevand"/>
                    <xsd:enumeration value="Afløb"/>
                    <xsd:enumeration value="Lovgivning"/>
                    <xsd:enumeration value="Innovation"/>
                    <xsd:enumeration value="Internationalt samarbejde"/>
                    <xsd:enumeration value="Klima"/>
                    <xsd:enumeration value="Klimatilpasning"/>
                    <xsd:enumeration value="Samarbejdspartnere"/>
                    <xsd:enumeration value="Administration"/>
                  </xsd:restriction>
                </xsd:simpleType>
              </xsd:element>
            </xsd:sequence>
          </xsd:extension>
        </xsd:complexContent>
      </xsd:complexType>
    </xsd:element>
    <xsd:element name="Danva_Dokumenttype" ma:index="9" nillable="true" ma:displayName="Dokumenttype" ma:default="" ma:format="Dropdown" ma:internalName="Danva_x0020_Dokumenttype">
      <xsd:simpleType>
        <xsd:restriction base="dms:Choice">
          <xsd:enumeration value="ATR skema – budgetændring"/>
          <xsd:enumeration value="ATR skema"/>
          <xsd:enumeration value="Bilag"/>
          <xsd:enumeration value="Brev/E-mail"/>
          <xsd:enumeration value="Dagsorden/referat"/>
          <xsd:enumeration value="Drøftelse ved møder"/>
          <xsd:enumeration value="DANVA Flyer"/>
          <xsd:enumeration value="Indstilling til beslutning"/>
          <xsd:enumeration value="Memo"/>
          <xsd:enumeration value="Mundtlig orientering"/>
          <xsd:enumeration value="Notat"/>
          <xsd:enumeration value="Procedurebeskrivelse"/>
          <xsd:enumeration value="Rapport"/>
          <xsd:enumeration value="Pjecer"/>
          <xsd:enumeration value="Foldere"/>
          <xsd:enumeration value="Artikel"/>
          <xsd:enumeration value="Pressemeddelelse"/>
          <xsd:enumeration value="Skriftlig orientering"/>
          <xsd:enumeration value="Vejledning"/>
          <xsd:enumeration value="Kontrakter"/>
          <xsd:enumeration value="PowerPoints"/>
        </xsd:restriction>
      </xsd:simpleType>
    </xsd:element>
    <xsd:element name="SharedWithUsers" ma:index="20"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Delt med detaljer" ma:internalName="SharedWithDetails" ma:readOnly="true">
      <xsd:simpleType>
        <xsd:restriction base="dms:Note">
          <xsd:maxLength value="255"/>
        </xsd:restriction>
      </xsd:simpleType>
    </xsd:element>
    <xsd:element name="TaxCatchAll" ma:index="24" nillable="true" ma:displayName="Taxonomy Catch All Column" ma:hidden="true" ma:list="{66eb36df-688b-4286-babd-c253259d4d6b}" ma:internalName="TaxCatchAll" ma:showField="CatchAllData" ma:web="85439af3-7d87-4228-a591-9885807d76d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7b905fab-6916-497b-9ff3-434de14b7d0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3" nillable="true" ma:taxonomy="true" ma:internalName="lcf76f155ced4ddcb4097134ff3c332f" ma:taxonomyFieldName="MediaServiceImageTags" ma:displayName="Billedmærker" ma:readOnly="false" ma:fieldId="{5cf76f15-5ced-4ddc-b409-7134ff3c332f}" ma:taxonomyMulti="true" ma:sspId="3bc99448-09c4-4342-852c-a67baaffca3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7b905fab-6916-497b-9ff3-434de14b7d0f">
      <Terms xmlns="http://schemas.microsoft.com/office/infopath/2007/PartnerControls"/>
    </lcf76f155ced4ddcb4097134ff3c332f>
    <Danva_Dokumenttype xmlns="85439af3-7d87-4228-a591-9885807d76d2" xsi:nil="true"/>
    <TaxCatchAll xmlns="85439af3-7d87-4228-a591-9885807d76d2" xsi:nil="true"/>
    <Danva_Emneord xmlns="85439af3-7d87-4228-a591-9885807d76d2" xsi:nil="true"/>
  </documentManagement>
</p:properties>
</file>

<file path=customXml/itemProps1.xml><?xml version="1.0" encoding="utf-8"?>
<ds:datastoreItem xmlns:ds="http://schemas.openxmlformats.org/officeDocument/2006/customXml" ds:itemID="{F1474E42-E0F0-458D-B5DB-BAFE22FBBA78}"/>
</file>

<file path=customXml/itemProps2.xml><?xml version="1.0" encoding="utf-8"?>
<ds:datastoreItem xmlns:ds="http://schemas.openxmlformats.org/officeDocument/2006/customXml" ds:itemID="{D913F9DB-856D-4B45-9CBE-D58DBC9DAC87}"/>
</file>

<file path=customXml/itemProps3.xml><?xml version="1.0" encoding="utf-8"?>
<ds:datastoreItem xmlns:ds="http://schemas.openxmlformats.org/officeDocument/2006/customXml" ds:itemID="{7C395944-BA97-4665-AA6D-2758BC6C7F3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7</vt:i4>
      </vt:variant>
    </vt:vector>
  </HeadingPairs>
  <TitlesOfParts>
    <vt:vector size="7" baseType="lpstr">
      <vt:lpstr>Guide til LCI</vt:lpstr>
      <vt:lpstr>TK1 - Dewatering</vt:lpstr>
      <vt:lpstr>TK2 - Incineration</vt:lpstr>
      <vt:lpstr>TK3 - Pyrolysis</vt:lpstr>
      <vt:lpstr>TK4 - Mineralisation</vt:lpstr>
      <vt:lpstr>References</vt:lpstr>
      <vt:lpstr>LCIA Resultater fra modellering</vt:lpstr>
    </vt:vector>
  </TitlesOfParts>
  <Company>TECHNICAL UNIVERSITY OF DENMARK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Marwa Salim</dc:creator>
  <cp:lastModifiedBy>Lars Krogsgaard Nielsen</cp:lastModifiedBy>
  <cp:lastPrinted>2024-03-15T09:37:06Z</cp:lastPrinted>
  <dcterms:created xsi:type="dcterms:W3CDTF">2024-02-06T10:54:39Z</dcterms:created>
  <dcterms:modified xsi:type="dcterms:W3CDTF">2024-06-10T12:43:52Z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0x010100BAABC410790270448144E518B2A3958C003F49785663BFAF4D9730533E4314F7FD</vt:lpwstr>
  </property>
</Properties>
</file>